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REG4 (MIMAROPA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'REG4 (MIMAROPA)'!$A$1:$AS$78</definedName>
    <definedName name="_xlnm.Print_Titles" localSheetId="0">'REG4 (MIMAROPA)'!$A:$A,'REG4 (MIMAROPA)'!$1:$5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77" i="1" l="1"/>
  <c r="AK77" i="1"/>
  <c r="AM77" i="1" s="1"/>
  <c r="AN77" i="1" s="1"/>
  <c r="AF77" i="1"/>
  <c r="AH77" i="1" s="1"/>
  <c r="AI77" i="1" s="1"/>
  <c r="AC77" i="1"/>
  <c r="AD77" i="1" s="1"/>
  <c r="AA77" i="1"/>
  <c r="V77" i="1"/>
  <c r="X77" i="1" s="1"/>
  <c r="Y77" i="1" s="1"/>
  <c r="Q77" i="1"/>
  <c r="S77" i="1" s="1"/>
  <c r="T77" i="1" s="1"/>
  <c r="L77" i="1"/>
  <c r="N77" i="1" s="1"/>
  <c r="O77" i="1" s="1"/>
  <c r="G77" i="1"/>
  <c r="I77" i="1" s="1"/>
  <c r="J77" i="1" s="1"/>
  <c r="B77" i="1"/>
  <c r="D77" i="1" s="1"/>
  <c r="E77" i="1" s="1"/>
  <c r="AQ76" i="1"/>
  <c r="AL76" i="1"/>
  <c r="AG76" i="1"/>
  <c r="AB76" i="1"/>
  <c r="W76" i="1"/>
  <c r="R76" i="1"/>
  <c r="M76" i="1"/>
  <c r="H76" i="1"/>
  <c r="C76" i="1"/>
  <c r="AL75" i="1"/>
  <c r="AG75" i="1"/>
  <c r="AB75" i="1"/>
  <c r="R75" i="1"/>
  <c r="M75" i="1"/>
  <c r="H75" i="1"/>
  <c r="AQ74" i="1"/>
  <c r="AQ75" i="1" s="1"/>
  <c r="AL74" i="1"/>
  <c r="AK74" i="1"/>
  <c r="AM74" i="1" s="1"/>
  <c r="AN74" i="1" s="1"/>
  <c r="AI74" i="1"/>
  <c r="AH74" i="1"/>
  <c r="AG74" i="1"/>
  <c r="AF74" i="1"/>
  <c r="AB74" i="1"/>
  <c r="AA74" i="1"/>
  <c r="AC74" i="1" s="1"/>
  <c r="AD74" i="1" s="1"/>
  <c r="W74" i="1"/>
  <c r="W75" i="1" s="1"/>
  <c r="V74" i="1"/>
  <c r="X74" i="1" s="1"/>
  <c r="Y74" i="1" s="1"/>
  <c r="R74" i="1"/>
  <c r="Q74" i="1"/>
  <c r="S74" i="1" s="1"/>
  <c r="T74" i="1" s="1"/>
  <c r="M74" i="1"/>
  <c r="L74" i="1"/>
  <c r="N74" i="1" s="1"/>
  <c r="O74" i="1" s="1"/>
  <c r="G74" i="1"/>
  <c r="I74" i="1" s="1"/>
  <c r="J74" i="1" s="1"/>
  <c r="B74" i="1"/>
  <c r="AQ73" i="1"/>
  <c r="AM73" i="1"/>
  <c r="AN73" i="1" s="1"/>
  <c r="AK73" i="1"/>
  <c r="AK76" i="1" s="1"/>
  <c r="AM76" i="1" s="1"/>
  <c r="AN76" i="1" s="1"/>
  <c r="AF73" i="1"/>
  <c r="AA73" i="1"/>
  <c r="AA76" i="1" s="1"/>
  <c r="AC76" i="1" s="1"/>
  <c r="AD76" i="1" s="1"/>
  <c r="V73" i="1"/>
  <c r="X73" i="1" s="1"/>
  <c r="Y73" i="1" s="1"/>
  <c r="Q73" i="1"/>
  <c r="S73" i="1" s="1"/>
  <c r="T73" i="1" s="1"/>
  <c r="L73" i="1"/>
  <c r="G73" i="1"/>
  <c r="I73" i="1" s="1"/>
  <c r="J73" i="1" s="1"/>
  <c r="B73" i="1"/>
  <c r="AQ72" i="1"/>
  <c r="AP72" i="1"/>
  <c r="AS72" i="1" s="1"/>
  <c r="AN72" i="1"/>
  <c r="AI72" i="1"/>
  <c r="AD72" i="1"/>
  <c r="Y72" i="1"/>
  <c r="T72" i="1"/>
  <c r="O72" i="1"/>
  <c r="J72" i="1"/>
  <c r="E72" i="1"/>
  <c r="AQ71" i="1"/>
  <c r="AS71" i="1" s="1"/>
  <c r="AN71" i="1"/>
  <c r="AI71" i="1"/>
  <c r="AD71" i="1"/>
  <c r="Y71" i="1"/>
  <c r="T71" i="1"/>
  <c r="O71" i="1"/>
  <c r="J71" i="1"/>
  <c r="E71" i="1"/>
  <c r="AL70" i="1"/>
  <c r="AG70" i="1"/>
  <c r="AB70" i="1"/>
  <c r="W70" i="1"/>
  <c r="R70" i="1"/>
  <c r="M70" i="1"/>
  <c r="H70" i="1"/>
  <c r="AL69" i="1"/>
  <c r="AG69" i="1"/>
  <c r="AB69" i="1"/>
  <c r="W69" i="1"/>
  <c r="R69" i="1"/>
  <c r="M69" i="1"/>
  <c r="H69" i="1"/>
  <c r="AL68" i="1"/>
  <c r="AG68" i="1"/>
  <c r="AB68" i="1"/>
  <c r="W68" i="1"/>
  <c r="R68" i="1"/>
  <c r="M68" i="1"/>
  <c r="H68" i="1"/>
  <c r="AQ67" i="1"/>
  <c r="AM67" i="1"/>
  <c r="AN67" i="1" s="1"/>
  <c r="AK67" i="1"/>
  <c r="AH67" i="1"/>
  <c r="AI67" i="1" s="1"/>
  <c r="AF67" i="1"/>
  <c r="AA67" i="1"/>
  <c r="AC67" i="1" s="1"/>
  <c r="AD67" i="1" s="1"/>
  <c r="V67" i="1"/>
  <c r="X67" i="1" s="1"/>
  <c r="Y67" i="1" s="1"/>
  <c r="S67" i="1"/>
  <c r="T67" i="1" s="1"/>
  <c r="Q67" i="1"/>
  <c r="L67" i="1"/>
  <c r="G67" i="1"/>
  <c r="I67" i="1" s="1"/>
  <c r="J67" i="1" s="1"/>
  <c r="B67" i="1"/>
  <c r="D67" i="1" s="1"/>
  <c r="E67" i="1" s="1"/>
  <c r="AQ66" i="1"/>
  <c r="AK66" i="1"/>
  <c r="AK69" i="1" s="1"/>
  <c r="AM69" i="1" s="1"/>
  <c r="AN69" i="1" s="1"/>
  <c r="AF66" i="1"/>
  <c r="AH66" i="1" s="1"/>
  <c r="AI66" i="1" s="1"/>
  <c r="AA66" i="1"/>
  <c r="AA69" i="1" s="1"/>
  <c r="AC69" i="1" s="1"/>
  <c r="AD69" i="1" s="1"/>
  <c r="V66" i="1"/>
  <c r="V69" i="1" s="1"/>
  <c r="X69" i="1" s="1"/>
  <c r="Y69" i="1" s="1"/>
  <c r="S66" i="1"/>
  <c r="T66" i="1" s="1"/>
  <c r="Q66" i="1"/>
  <c r="Q69" i="1" s="1"/>
  <c r="S69" i="1" s="1"/>
  <c r="T69" i="1" s="1"/>
  <c r="L66" i="1"/>
  <c r="N66" i="1" s="1"/>
  <c r="O66" i="1" s="1"/>
  <c r="G66" i="1"/>
  <c r="G69" i="1" s="1"/>
  <c r="I69" i="1" s="1"/>
  <c r="J69" i="1" s="1"/>
  <c r="B66" i="1"/>
  <c r="D66" i="1" s="1"/>
  <c r="E66" i="1" s="1"/>
  <c r="AQ65" i="1"/>
  <c r="AQ68" i="1" s="1"/>
  <c r="AK65" i="1"/>
  <c r="AM65" i="1" s="1"/>
  <c r="AN65" i="1" s="1"/>
  <c r="AF65" i="1"/>
  <c r="AA65" i="1"/>
  <c r="AC65" i="1" s="1"/>
  <c r="AD65" i="1" s="1"/>
  <c r="V65" i="1"/>
  <c r="X65" i="1" s="1"/>
  <c r="Y65" i="1" s="1"/>
  <c r="Q65" i="1"/>
  <c r="Q70" i="1" s="1"/>
  <c r="S70" i="1" s="1"/>
  <c r="T70" i="1" s="1"/>
  <c r="L65" i="1"/>
  <c r="L68" i="1" s="1"/>
  <c r="O68" i="1" s="1"/>
  <c r="G65" i="1"/>
  <c r="G68" i="1" s="1"/>
  <c r="J68" i="1" s="1"/>
  <c r="B65" i="1"/>
  <c r="B68" i="1" s="1"/>
  <c r="E68" i="1" s="1"/>
  <c r="AL61" i="1"/>
  <c r="AM61" i="1" s="1"/>
  <c r="AN61" i="1" s="1"/>
  <c r="AG61" i="1"/>
  <c r="AF61" i="1"/>
  <c r="AH61" i="1" s="1"/>
  <c r="AI61" i="1" s="1"/>
  <c r="AB61" i="1"/>
  <c r="AA61" i="1"/>
  <c r="AC61" i="1" s="1"/>
  <c r="AD61" i="1" s="1"/>
  <c r="W61" i="1"/>
  <c r="V61" i="1"/>
  <c r="R61" i="1"/>
  <c r="Q61" i="1"/>
  <c r="M61" i="1"/>
  <c r="L61" i="1"/>
  <c r="N61" i="1" s="1"/>
  <c r="O61" i="1" s="1"/>
  <c r="H61" i="1"/>
  <c r="I61" i="1" s="1"/>
  <c r="J61" i="1" s="1"/>
  <c r="G61" i="1"/>
  <c r="C61" i="1"/>
  <c r="B61" i="1"/>
  <c r="D61" i="1" s="1"/>
  <c r="E61" i="1" s="1"/>
  <c r="AM60" i="1"/>
  <c r="AN60" i="1" s="1"/>
  <c r="AL60" i="1"/>
  <c r="AG60" i="1"/>
  <c r="AF60" i="1"/>
  <c r="AH60" i="1" s="1"/>
  <c r="AI60" i="1" s="1"/>
  <c r="AB60" i="1"/>
  <c r="AA60" i="1"/>
  <c r="AC60" i="1" s="1"/>
  <c r="AD60" i="1" s="1"/>
  <c r="W60" i="1"/>
  <c r="V60" i="1"/>
  <c r="R60" i="1"/>
  <c r="Q60" i="1"/>
  <c r="S60" i="1" s="1"/>
  <c r="T60" i="1" s="1"/>
  <c r="M60" i="1"/>
  <c r="L60" i="1"/>
  <c r="H60" i="1"/>
  <c r="G60" i="1"/>
  <c r="I60" i="1" s="1"/>
  <c r="J60" i="1" s="1"/>
  <c r="C60" i="1"/>
  <c r="B60" i="1"/>
  <c r="AP59" i="1"/>
  <c r="AR59" i="1" s="1"/>
  <c r="AS59" i="1" s="1"/>
  <c r="AL59" i="1"/>
  <c r="AM59" i="1" s="1"/>
  <c r="AN59" i="1" s="1"/>
  <c r="AG59" i="1"/>
  <c r="AH59" i="1" s="1"/>
  <c r="AI59" i="1" s="1"/>
  <c r="AF59" i="1"/>
  <c r="AA59" i="1"/>
  <c r="AC59" i="1" s="1"/>
  <c r="AD59" i="1" s="1"/>
  <c r="W59" i="1"/>
  <c r="V59" i="1"/>
  <c r="X59" i="1" s="1"/>
  <c r="Y59" i="1" s="1"/>
  <c r="R59" i="1"/>
  <c r="S59" i="1" s="1"/>
  <c r="T59" i="1" s="1"/>
  <c r="Q59" i="1"/>
  <c r="M59" i="1"/>
  <c r="L59" i="1"/>
  <c r="N59" i="1" s="1"/>
  <c r="O59" i="1" s="1"/>
  <c r="H59" i="1"/>
  <c r="G59" i="1"/>
  <c r="I59" i="1" s="1"/>
  <c r="J59" i="1" s="1"/>
  <c r="C59" i="1"/>
  <c r="B59" i="1"/>
  <c r="AM58" i="1"/>
  <c r="AN58" i="1" s="1"/>
  <c r="AL58" i="1"/>
  <c r="AG58" i="1"/>
  <c r="AF58" i="1"/>
  <c r="AH58" i="1" s="1"/>
  <c r="AI58" i="1" s="1"/>
  <c r="AB58" i="1"/>
  <c r="AA58" i="1"/>
  <c r="AC58" i="1" s="1"/>
  <c r="AD58" i="1" s="1"/>
  <c r="W58" i="1"/>
  <c r="X58" i="1" s="1"/>
  <c r="Y58" i="1" s="1"/>
  <c r="V58" i="1"/>
  <c r="R58" i="1"/>
  <c r="Q58" i="1"/>
  <c r="S58" i="1" s="1"/>
  <c r="T58" i="1" s="1"/>
  <c r="M58" i="1"/>
  <c r="L58" i="1"/>
  <c r="N58" i="1" s="1"/>
  <c r="O58" i="1" s="1"/>
  <c r="H58" i="1"/>
  <c r="I58" i="1" s="1"/>
  <c r="J58" i="1" s="1"/>
  <c r="G58" i="1"/>
  <c r="C58" i="1"/>
  <c r="B58" i="1"/>
  <c r="D58" i="1" s="1"/>
  <c r="E58" i="1" s="1"/>
  <c r="AL57" i="1"/>
  <c r="AM57" i="1" s="1"/>
  <c r="AN57" i="1" s="1"/>
  <c r="AG57" i="1"/>
  <c r="AF57" i="1"/>
  <c r="AH57" i="1" s="1"/>
  <c r="AI57" i="1" s="1"/>
  <c r="AB57" i="1"/>
  <c r="AA57" i="1"/>
  <c r="W57" i="1"/>
  <c r="V57" i="1"/>
  <c r="X57" i="1" s="1"/>
  <c r="Y57" i="1" s="1"/>
  <c r="R57" i="1"/>
  <c r="Q57" i="1"/>
  <c r="M57" i="1"/>
  <c r="L57" i="1"/>
  <c r="H57" i="1"/>
  <c r="G57" i="1"/>
  <c r="C57" i="1"/>
  <c r="B57" i="1"/>
  <c r="D57" i="1" s="1"/>
  <c r="E57" i="1" s="1"/>
  <c r="AR54" i="1"/>
  <c r="AS54" i="1" s="1"/>
  <c r="AQ54" i="1"/>
  <c r="AP54" i="1"/>
  <c r="AM54" i="1"/>
  <c r="AN54" i="1" s="1"/>
  <c r="AI54" i="1"/>
  <c r="AH54" i="1"/>
  <c r="AD54" i="1"/>
  <c r="AC54" i="1"/>
  <c r="X54" i="1"/>
  <c r="Y54" i="1" s="1"/>
  <c r="T54" i="1"/>
  <c r="S54" i="1"/>
  <c r="O54" i="1"/>
  <c r="N54" i="1"/>
  <c r="I54" i="1"/>
  <c r="J54" i="1" s="1"/>
  <c r="E54" i="1"/>
  <c r="D54" i="1"/>
  <c r="AQ53" i="1"/>
  <c r="AP53" i="1"/>
  <c r="AR53" i="1" s="1"/>
  <c r="AS53" i="1" s="1"/>
  <c r="AM53" i="1"/>
  <c r="AN53" i="1" s="1"/>
  <c r="AI53" i="1"/>
  <c r="AH53" i="1"/>
  <c r="AC53" i="1"/>
  <c r="AD53" i="1" s="1"/>
  <c r="X53" i="1"/>
  <c r="Y53" i="1" s="1"/>
  <c r="T53" i="1"/>
  <c r="S53" i="1"/>
  <c r="N53" i="1"/>
  <c r="O53" i="1" s="1"/>
  <c r="J53" i="1"/>
  <c r="I53" i="1"/>
  <c r="E53" i="1"/>
  <c r="D53" i="1"/>
  <c r="AQ52" i="1"/>
  <c r="AR52" i="1" s="1"/>
  <c r="AS52" i="1" s="1"/>
  <c r="AP52" i="1"/>
  <c r="AN52" i="1"/>
  <c r="AM52" i="1"/>
  <c r="AH52" i="1"/>
  <c r="AI52" i="1" s="1"/>
  <c r="AD52" i="1"/>
  <c r="AC52" i="1"/>
  <c r="Y52" i="1"/>
  <c r="X52" i="1"/>
  <c r="S52" i="1"/>
  <c r="T52" i="1" s="1"/>
  <c r="N52" i="1"/>
  <c r="O52" i="1" s="1"/>
  <c r="J52" i="1"/>
  <c r="I52" i="1"/>
  <c r="D52" i="1"/>
  <c r="E52" i="1" s="1"/>
  <c r="AQ51" i="1"/>
  <c r="AR51" i="1" s="1"/>
  <c r="AS51" i="1" s="1"/>
  <c r="AP51" i="1"/>
  <c r="AM51" i="1"/>
  <c r="AN51" i="1" s="1"/>
  <c r="AH51" i="1"/>
  <c r="AI51" i="1" s="1"/>
  <c r="AD51" i="1"/>
  <c r="AC51" i="1"/>
  <c r="X51" i="1"/>
  <c r="Y51" i="1" s="1"/>
  <c r="T51" i="1"/>
  <c r="S51" i="1"/>
  <c r="O51" i="1"/>
  <c r="N51" i="1"/>
  <c r="I51" i="1"/>
  <c r="J51" i="1" s="1"/>
  <c r="D51" i="1"/>
  <c r="E51" i="1" s="1"/>
  <c r="AL50" i="1"/>
  <c r="AM50" i="1" s="1"/>
  <c r="AN50" i="1" s="1"/>
  <c r="AK50" i="1"/>
  <c r="AH50" i="1"/>
  <c r="AI50" i="1" s="1"/>
  <c r="AG50" i="1"/>
  <c r="AF50" i="1"/>
  <c r="AB50" i="1"/>
  <c r="AA50" i="1"/>
  <c r="AC50" i="1" s="1"/>
  <c r="AD50" i="1" s="1"/>
  <c r="W50" i="1"/>
  <c r="X50" i="1" s="1"/>
  <c r="Y50" i="1" s="1"/>
  <c r="V50" i="1"/>
  <c r="R50" i="1"/>
  <c r="Q50" i="1"/>
  <c r="S50" i="1" s="1"/>
  <c r="T50" i="1" s="1"/>
  <c r="M50" i="1"/>
  <c r="L50" i="1"/>
  <c r="N50" i="1" s="1"/>
  <c r="O50" i="1" s="1"/>
  <c r="I50" i="1"/>
  <c r="J50" i="1" s="1"/>
  <c r="H50" i="1"/>
  <c r="G50" i="1"/>
  <c r="C50" i="1"/>
  <c r="B50" i="1"/>
  <c r="D50" i="1" s="1"/>
  <c r="E50" i="1" s="1"/>
  <c r="AQ49" i="1"/>
  <c r="AQ50" i="1" s="1"/>
  <c r="AP49" i="1"/>
  <c r="AR49" i="1" s="1"/>
  <c r="AS49" i="1" s="1"/>
  <c r="AM49" i="1"/>
  <c r="AN49" i="1" s="1"/>
  <c r="AI49" i="1"/>
  <c r="AH49" i="1"/>
  <c r="AC49" i="1"/>
  <c r="AD49" i="1" s="1"/>
  <c r="X49" i="1"/>
  <c r="Y49" i="1" s="1"/>
  <c r="T49" i="1"/>
  <c r="S49" i="1"/>
  <c r="N49" i="1"/>
  <c r="O49" i="1" s="1"/>
  <c r="I49" i="1"/>
  <c r="J49" i="1" s="1"/>
  <c r="E49" i="1"/>
  <c r="D49" i="1"/>
  <c r="AL47" i="1"/>
  <c r="AK47" i="1"/>
  <c r="AM47" i="1" s="1"/>
  <c r="AN47" i="1" s="1"/>
  <c r="AH47" i="1"/>
  <c r="AI47" i="1" s="1"/>
  <c r="AG47" i="1"/>
  <c r="AF47" i="1"/>
  <c r="AB47" i="1"/>
  <c r="AA47" i="1"/>
  <c r="AC47" i="1" s="1"/>
  <c r="AD47" i="1" s="1"/>
  <c r="W47" i="1"/>
  <c r="V47" i="1"/>
  <c r="X47" i="1" s="1"/>
  <c r="Y47" i="1" s="1"/>
  <c r="R47" i="1"/>
  <c r="S47" i="1" s="1"/>
  <c r="T47" i="1" s="1"/>
  <c r="Q47" i="1"/>
  <c r="M47" i="1"/>
  <c r="L47" i="1"/>
  <c r="N47" i="1" s="1"/>
  <c r="O47" i="1" s="1"/>
  <c r="H47" i="1"/>
  <c r="G47" i="1"/>
  <c r="I47" i="1" s="1"/>
  <c r="J47" i="1" s="1"/>
  <c r="E47" i="1"/>
  <c r="D47" i="1"/>
  <c r="C47" i="1"/>
  <c r="B47" i="1"/>
  <c r="AQ46" i="1"/>
  <c r="AQ47" i="1" s="1"/>
  <c r="AP46" i="1"/>
  <c r="AR46" i="1" s="1"/>
  <c r="AS46" i="1" s="1"/>
  <c r="AN46" i="1"/>
  <c r="AM46" i="1"/>
  <c r="AH46" i="1"/>
  <c r="AI46" i="1" s="1"/>
  <c r="AC46" i="1"/>
  <c r="AD46" i="1" s="1"/>
  <c r="Y46" i="1"/>
  <c r="X46" i="1"/>
  <c r="S46" i="1"/>
  <c r="T46" i="1" s="1"/>
  <c r="O46" i="1"/>
  <c r="N46" i="1"/>
  <c r="J46" i="1"/>
  <c r="I46" i="1"/>
  <c r="D46" i="1"/>
  <c r="E46" i="1" s="1"/>
  <c r="AQ45" i="1"/>
  <c r="AP45" i="1"/>
  <c r="AQ44" i="1"/>
  <c r="AP44" i="1"/>
  <c r="AQ43" i="1"/>
  <c r="AP43" i="1"/>
  <c r="AQ42" i="1"/>
  <c r="AP42" i="1"/>
  <c r="AQ41" i="1"/>
  <c r="AP41" i="1"/>
  <c r="AQ39" i="1"/>
  <c r="AP39" i="1"/>
  <c r="AR39" i="1" s="1"/>
  <c r="AS39" i="1" s="1"/>
  <c r="AN39" i="1"/>
  <c r="AM39" i="1"/>
  <c r="AH39" i="1"/>
  <c r="AI39" i="1" s="1"/>
  <c r="AC39" i="1"/>
  <c r="AD39" i="1" s="1"/>
  <c r="Y39" i="1"/>
  <c r="X39" i="1"/>
  <c r="S39" i="1"/>
  <c r="T39" i="1" s="1"/>
  <c r="N39" i="1"/>
  <c r="O39" i="1" s="1"/>
  <c r="J39" i="1"/>
  <c r="I39" i="1"/>
  <c r="D39" i="1"/>
  <c r="E39" i="1" s="1"/>
  <c r="AR38" i="1"/>
  <c r="AS38" i="1" s="1"/>
  <c r="AQ38" i="1"/>
  <c r="AP38" i="1"/>
  <c r="AM38" i="1"/>
  <c r="AN38" i="1" s="1"/>
  <c r="AH38" i="1"/>
  <c r="AD38" i="1"/>
  <c r="AC38" i="1"/>
  <c r="Y38" i="1"/>
  <c r="X38" i="1"/>
  <c r="T38" i="1"/>
  <c r="S38" i="1"/>
  <c r="N38" i="1"/>
  <c r="I38" i="1"/>
  <c r="D38" i="1"/>
  <c r="AQ37" i="1"/>
  <c r="AP37" i="1"/>
  <c r="AN37" i="1"/>
  <c r="AM37" i="1"/>
  <c r="AH37" i="1"/>
  <c r="AI37" i="1" s="1"/>
  <c r="AD37" i="1"/>
  <c r="AC37" i="1"/>
  <c r="Y37" i="1"/>
  <c r="X37" i="1"/>
  <c r="T37" i="1"/>
  <c r="S37" i="1"/>
  <c r="N37" i="1"/>
  <c r="O37" i="1" s="1"/>
  <c r="J37" i="1"/>
  <c r="I37" i="1"/>
  <c r="D37" i="1"/>
  <c r="E37" i="1" s="1"/>
  <c r="AQ31" i="1"/>
  <c r="AP31" i="1"/>
  <c r="AR31" i="1" s="1"/>
  <c r="AS31" i="1" s="1"/>
  <c r="AM31" i="1"/>
  <c r="AN31" i="1" s="1"/>
  <c r="AH31" i="1"/>
  <c r="AI31" i="1" s="1"/>
  <c r="AD31" i="1"/>
  <c r="AC31" i="1"/>
  <c r="Y31" i="1"/>
  <c r="X31" i="1"/>
  <c r="S31" i="1"/>
  <c r="T31" i="1" s="1"/>
  <c r="I31" i="1"/>
  <c r="J31" i="1" s="1"/>
  <c r="D31" i="1"/>
  <c r="E31" i="1" s="1"/>
  <c r="AQ28" i="1"/>
  <c r="AP28" i="1"/>
  <c r="AR28" i="1" s="1"/>
  <c r="AS28" i="1" s="1"/>
  <c r="AN28" i="1"/>
  <c r="AM28" i="1"/>
  <c r="AI28" i="1"/>
  <c r="AH28" i="1"/>
  <c r="AC28" i="1"/>
  <c r="X28" i="1"/>
  <c r="Y28" i="1" s="1"/>
  <c r="T28" i="1"/>
  <c r="S28" i="1"/>
  <c r="N28" i="1"/>
  <c r="O28" i="1" s="1"/>
  <c r="I28" i="1"/>
  <c r="J28" i="1" s="1"/>
  <c r="E28" i="1"/>
  <c r="D28" i="1"/>
  <c r="AQ27" i="1"/>
  <c r="AP27" i="1"/>
  <c r="AR27" i="1" s="1"/>
  <c r="AS27" i="1" s="1"/>
  <c r="AN27" i="1"/>
  <c r="AM27" i="1"/>
  <c r="AH27" i="1"/>
  <c r="AI27" i="1" s="1"/>
  <c r="AC27" i="1"/>
  <c r="AD27" i="1" s="1"/>
  <c r="X27" i="1"/>
  <c r="Y27" i="1" s="1"/>
  <c r="T27" i="1"/>
  <c r="S27" i="1"/>
  <c r="J27" i="1"/>
  <c r="I27" i="1"/>
  <c r="D27" i="1"/>
  <c r="E27" i="1" s="1"/>
  <c r="AB26" i="1"/>
  <c r="AB29" i="1" s="1"/>
  <c r="AS24" i="1"/>
  <c r="AR24" i="1"/>
  <c r="AQ24" i="1"/>
  <c r="AP24" i="1"/>
  <c r="AM24" i="1"/>
  <c r="AN24" i="1" s="1"/>
  <c r="AI24" i="1"/>
  <c r="AH24" i="1"/>
  <c r="AC24" i="1"/>
  <c r="AD24" i="1" s="1"/>
  <c r="X24" i="1"/>
  <c r="Y24" i="1" s="1"/>
  <c r="S24" i="1"/>
  <c r="T24" i="1" s="1"/>
  <c r="J24" i="1"/>
  <c r="I24" i="1"/>
  <c r="E24" i="1"/>
  <c r="D24" i="1"/>
  <c r="AB23" i="1"/>
  <c r="AR22" i="1"/>
  <c r="AS22" i="1" s="1"/>
  <c r="AQ22" i="1"/>
  <c r="AP22" i="1"/>
  <c r="AM22" i="1"/>
  <c r="AN22" i="1" s="1"/>
  <c r="AH22" i="1"/>
  <c r="AI22" i="1" s="1"/>
  <c r="AD22" i="1"/>
  <c r="AC22" i="1"/>
  <c r="Y22" i="1"/>
  <c r="X22" i="1"/>
  <c r="T22" i="1"/>
  <c r="S22" i="1"/>
  <c r="I22" i="1"/>
  <c r="J22" i="1" s="1"/>
  <c r="E22" i="1"/>
  <c r="D22" i="1"/>
  <c r="AL21" i="1"/>
  <c r="AL23" i="1" s="1"/>
  <c r="W21" i="1"/>
  <c r="H21" i="1"/>
  <c r="H25" i="1" s="1"/>
  <c r="AQ20" i="1"/>
  <c r="AP20" i="1"/>
  <c r="AR20" i="1" s="1"/>
  <c r="AS20" i="1" s="1"/>
  <c r="AN20" i="1"/>
  <c r="AM20" i="1"/>
  <c r="AI20" i="1"/>
  <c r="AH20" i="1"/>
  <c r="AC20" i="1"/>
  <c r="AD20" i="1" s="1"/>
  <c r="X20" i="1"/>
  <c r="Y20" i="1" s="1"/>
  <c r="T20" i="1"/>
  <c r="S20" i="1"/>
  <c r="I20" i="1"/>
  <c r="J20" i="1" s="1"/>
  <c r="E20" i="1"/>
  <c r="D20" i="1"/>
  <c r="AL19" i="1"/>
  <c r="AK19" i="1"/>
  <c r="AM19" i="1" s="1"/>
  <c r="AN19" i="1" s="1"/>
  <c r="AH19" i="1"/>
  <c r="AI19" i="1" s="1"/>
  <c r="AG19" i="1"/>
  <c r="AG21" i="1" s="1"/>
  <c r="AF19" i="1"/>
  <c r="AF21" i="1" s="1"/>
  <c r="AC19" i="1"/>
  <c r="AD19" i="1" s="1"/>
  <c r="AB19" i="1"/>
  <c r="AB21" i="1" s="1"/>
  <c r="AB25" i="1" s="1"/>
  <c r="AA19" i="1"/>
  <c r="AA21" i="1" s="1"/>
  <c r="W19" i="1"/>
  <c r="V19" i="1"/>
  <c r="X19" i="1" s="1"/>
  <c r="Y19" i="1" s="1"/>
  <c r="R19" i="1"/>
  <c r="R21" i="1" s="1"/>
  <c r="Q19" i="1"/>
  <c r="S19" i="1" s="1"/>
  <c r="T19" i="1" s="1"/>
  <c r="N19" i="1"/>
  <c r="O19" i="1" s="1"/>
  <c r="M19" i="1"/>
  <c r="M21" i="1" s="1"/>
  <c r="M26" i="1" s="1"/>
  <c r="M29" i="1" s="1"/>
  <c r="L19" i="1"/>
  <c r="J19" i="1"/>
  <c r="H19" i="1"/>
  <c r="G19" i="1"/>
  <c r="I19" i="1" s="1"/>
  <c r="C19" i="1"/>
  <c r="C21" i="1" s="1"/>
  <c r="B19" i="1"/>
  <c r="B21" i="1" s="1"/>
  <c r="AQ18" i="1"/>
  <c r="AR18" i="1" s="1"/>
  <c r="AS18" i="1" s="1"/>
  <c r="AP18" i="1"/>
  <c r="AN18" i="1"/>
  <c r="AM18" i="1"/>
  <c r="AH18" i="1"/>
  <c r="AI18" i="1" s="1"/>
  <c r="AC18" i="1"/>
  <c r="AD18" i="1" s="1"/>
  <c r="X18" i="1"/>
  <c r="Y18" i="1" s="1"/>
  <c r="S18" i="1"/>
  <c r="T18" i="1" s="1"/>
  <c r="O18" i="1"/>
  <c r="N18" i="1"/>
  <c r="J18" i="1"/>
  <c r="I18" i="1"/>
  <c r="D18" i="1"/>
  <c r="E18" i="1" s="1"/>
  <c r="AQ17" i="1"/>
  <c r="AP17" i="1"/>
  <c r="AR17" i="1" s="1"/>
  <c r="AS17" i="1" s="1"/>
  <c r="AM17" i="1"/>
  <c r="AN17" i="1" s="1"/>
  <c r="AI17" i="1"/>
  <c r="AH17" i="1"/>
  <c r="AC17" i="1"/>
  <c r="Y17" i="1"/>
  <c r="X17" i="1"/>
  <c r="T17" i="1"/>
  <c r="S17" i="1"/>
  <c r="O17" i="1"/>
  <c r="N17" i="1"/>
  <c r="I17" i="1"/>
  <c r="J17" i="1" s="1"/>
  <c r="D17" i="1"/>
  <c r="E17" i="1" s="1"/>
  <c r="AQ16" i="1"/>
  <c r="AR16" i="1" s="1"/>
  <c r="AS16" i="1" s="1"/>
  <c r="AP16" i="1"/>
  <c r="AN16" i="1"/>
  <c r="AM16" i="1"/>
  <c r="AI16" i="1"/>
  <c r="AH16" i="1"/>
  <c r="AC16" i="1"/>
  <c r="AD16" i="1" s="1"/>
  <c r="X16" i="1"/>
  <c r="Y16" i="1" s="1"/>
  <c r="T16" i="1"/>
  <c r="S16" i="1"/>
  <c r="O16" i="1"/>
  <c r="N16" i="1"/>
  <c r="J16" i="1"/>
  <c r="I16" i="1"/>
  <c r="E16" i="1"/>
  <c r="D16" i="1"/>
  <c r="AQ15" i="1"/>
  <c r="AP15" i="1"/>
  <c r="AR15" i="1" s="1"/>
  <c r="AS15" i="1" s="1"/>
  <c r="AN15" i="1"/>
  <c r="AM15" i="1"/>
  <c r="AI15" i="1"/>
  <c r="AH15" i="1"/>
  <c r="AD15" i="1"/>
  <c r="AC15" i="1"/>
  <c r="Y15" i="1"/>
  <c r="X15" i="1"/>
  <c r="S15" i="1"/>
  <c r="T15" i="1" s="1"/>
  <c r="N15" i="1"/>
  <c r="O15" i="1" s="1"/>
  <c r="J15" i="1"/>
  <c r="I15" i="1"/>
  <c r="E15" i="1"/>
  <c r="D15" i="1"/>
  <c r="AQ14" i="1"/>
  <c r="AQ19" i="1" s="1"/>
  <c r="AQ21" i="1" s="1"/>
  <c r="AP14" i="1"/>
  <c r="AR14" i="1" s="1"/>
  <c r="AS14" i="1" s="1"/>
  <c r="AM14" i="1"/>
  <c r="AN14" i="1" s="1"/>
  <c r="AH14" i="1"/>
  <c r="AI14" i="1" s="1"/>
  <c r="AD14" i="1"/>
  <c r="AC14" i="1"/>
  <c r="Y14" i="1"/>
  <c r="X14" i="1"/>
  <c r="T14" i="1"/>
  <c r="S14" i="1"/>
  <c r="O14" i="1"/>
  <c r="N14" i="1"/>
  <c r="I14" i="1"/>
  <c r="J14" i="1" s="1"/>
  <c r="D14" i="1"/>
  <c r="E14" i="1" s="1"/>
  <c r="AQ13" i="1"/>
  <c r="AQ69" i="1" s="1"/>
  <c r="AP13" i="1"/>
  <c r="AP19" i="1" s="1"/>
  <c r="AN13" i="1"/>
  <c r="AM13" i="1"/>
  <c r="AI13" i="1"/>
  <c r="AH13" i="1"/>
  <c r="AC13" i="1"/>
  <c r="AD13" i="1" s="1"/>
  <c r="X13" i="1"/>
  <c r="Y13" i="1" s="1"/>
  <c r="T13" i="1"/>
  <c r="S13" i="1"/>
  <c r="O13" i="1"/>
  <c r="N13" i="1"/>
  <c r="J13" i="1"/>
  <c r="I13" i="1"/>
  <c r="E13" i="1"/>
  <c r="D13" i="1"/>
  <c r="A4" i="1"/>
  <c r="A2" i="1"/>
  <c r="AC57" i="1" l="1"/>
  <c r="AD57" i="1" s="1"/>
  <c r="S61" i="1"/>
  <c r="T61" i="1" s="1"/>
  <c r="AC66" i="1"/>
  <c r="AD66" i="1" s="1"/>
  <c r="L69" i="1"/>
  <c r="N69" i="1" s="1"/>
  <c r="O69" i="1" s="1"/>
  <c r="AF69" i="1"/>
  <c r="AH69" i="1" s="1"/>
  <c r="AI69" i="1" s="1"/>
  <c r="AC73" i="1"/>
  <c r="AD73" i="1" s="1"/>
  <c r="AA68" i="1"/>
  <c r="AD68" i="1" s="1"/>
  <c r="AQ57" i="1"/>
  <c r="N57" i="1"/>
  <c r="O57" i="1" s="1"/>
  <c r="AQ58" i="1"/>
  <c r="D59" i="1"/>
  <c r="X66" i="1"/>
  <c r="Y66" i="1" s="1"/>
  <c r="N67" i="1"/>
  <c r="O67" i="1" s="1"/>
  <c r="AP67" i="1"/>
  <c r="AR67" i="1" s="1"/>
  <c r="AS67" i="1" s="1"/>
  <c r="B70" i="1"/>
  <c r="D70" i="1" s="1"/>
  <c r="E70" i="1" s="1"/>
  <c r="G75" i="1"/>
  <c r="I75" i="1" s="1"/>
  <c r="J75" i="1" s="1"/>
  <c r="G76" i="1"/>
  <c r="V76" i="1"/>
  <c r="X76" i="1" s="1"/>
  <c r="Y76" i="1" s="1"/>
  <c r="I57" i="1"/>
  <c r="J57" i="1" s="1"/>
  <c r="S57" i="1"/>
  <c r="T57" i="1" s="1"/>
  <c r="N60" i="1"/>
  <c r="O60" i="1" s="1"/>
  <c r="X60" i="1"/>
  <c r="Y60" i="1" s="1"/>
  <c r="X61" i="1"/>
  <c r="Y61" i="1" s="1"/>
  <c r="D65" i="1"/>
  <c r="E65" i="1" s="1"/>
  <c r="Q68" i="1"/>
  <c r="T68" i="1" s="1"/>
  <c r="AP74" i="1"/>
  <c r="AR74" i="1" s="1"/>
  <c r="AS74" i="1" s="1"/>
  <c r="I76" i="1"/>
  <c r="J76" i="1" s="1"/>
  <c r="C26" i="1"/>
  <c r="C29" i="1" s="1"/>
  <c r="C23" i="1"/>
  <c r="C25" i="1"/>
  <c r="AP21" i="1"/>
  <c r="AR19" i="1"/>
  <c r="AS19" i="1" s="1"/>
  <c r="B26" i="1"/>
  <c r="B23" i="1"/>
  <c r="E23" i="1" s="1"/>
  <c r="B25" i="1"/>
  <c r="E25" i="1" s="1"/>
  <c r="D21" i="1"/>
  <c r="E21" i="1" s="1"/>
  <c r="AQ26" i="1"/>
  <c r="AQ25" i="1"/>
  <c r="AF26" i="1"/>
  <c r="AF25" i="1"/>
  <c r="AF23" i="1"/>
  <c r="AH21" i="1"/>
  <c r="AI21" i="1" s="1"/>
  <c r="AG26" i="1"/>
  <c r="AG29" i="1" s="1"/>
  <c r="AG23" i="1"/>
  <c r="AG25" i="1"/>
  <c r="R26" i="1"/>
  <c r="R29" i="1" s="1"/>
  <c r="R25" i="1"/>
  <c r="R23" i="1"/>
  <c r="N29" i="1"/>
  <c r="O29" i="1" s="1"/>
  <c r="M32" i="1"/>
  <c r="M30" i="1"/>
  <c r="AP61" i="1"/>
  <c r="AF70" i="1"/>
  <c r="AH70" i="1" s="1"/>
  <c r="AI70" i="1" s="1"/>
  <c r="AF68" i="1"/>
  <c r="AI68" i="1" s="1"/>
  <c r="D74" i="1"/>
  <c r="Q21" i="1"/>
  <c r="M25" i="1"/>
  <c r="H26" i="1"/>
  <c r="H29" i="1" s="1"/>
  <c r="AL26" i="1"/>
  <c r="AL29" i="1" s="1"/>
  <c r="AP60" i="1"/>
  <c r="D60" i="1"/>
  <c r="AH65" i="1"/>
  <c r="AI65" i="1" s="1"/>
  <c r="AK68" i="1"/>
  <c r="AN68" i="1" s="1"/>
  <c r="AA70" i="1"/>
  <c r="AC70" i="1" s="1"/>
  <c r="AD70" i="1" s="1"/>
  <c r="AK75" i="1"/>
  <c r="AM75" i="1" s="1"/>
  <c r="AN75" i="1" s="1"/>
  <c r="L76" i="1"/>
  <c r="N76" i="1" s="1"/>
  <c r="O76" i="1" s="1"/>
  <c r="L75" i="1"/>
  <c r="N75" i="1" s="1"/>
  <c r="O75" i="1" s="1"/>
  <c r="N73" i="1"/>
  <c r="O73" i="1" s="1"/>
  <c r="D19" i="1"/>
  <c r="E19" i="1" s="1"/>
  <c r="AQ23" i="1"/>
  <c r="AQ70" i="1"/>
  <c r="G70" i="1"/>
  <c r="I70" i="1" s="1"/>
  <c r="J70" i="1" s="1"/>
  <c r="I65" i="1"/>
  <c r="J65" i="1" s="1"/>
  <c r="AM66" i="1"/>
  <c r="AN66" i="1" s="1"/>
  <c r="AQ61" i="1"/>
  <c r="AQ60" i="1"/>
  <c r="B69" i="1"/>
  <c r="D69" i="1" s="1"/>
  <c r="E69" i="1" s="1"/>
  <c r="Q76" i="1"/>
  <c r="S76" i="1" s="1"/>
  <c r="T76" i="1" s="1"/>
  <c r="Q75" i="1"/>
  <c r="S75" i="1" s="1"/>
  <c r="T75" i="1" s="1"/>
  <c r="AA23" i="1"/>
  <c r="AD23" i="1" s="1"/>
  <c r="AA25" i="1"/>
  <c r="AD25" i="1" s="1"/>
  <c r="AC21" i="1"/>
  <c r="AD21" i="1" s="1"/>
  <c r="W23" i="1"/>
  <c r="W25" i="1"/>
  <c r="N65" i="1"/>
  <c r="O65" i="1" s="1"/>
  <c r="L70" i="1"/>
  <c r="N70" i="1" s="1"/>
  <c r="O70" i="1" s="1"/>
  <c r="AP58" i="1"/>
  <c r="AR58" i="1" s="1"/>
  <c r="AS58" i="1" s="1"/>
  <c r="AP23" i="1"/>
  <c r="AP47" i="1"/>
  <c r="AR47" i="1" s="1"/>
  <c r="AS47" i="1" s="1"/>
  <c r="B75" i="1"/>
  <c r="D75" i="1" s="1"/>
  <c r="E75" i="1" s="1"/>
  <c r="AF76" i="1"/>
  <c r="AH76" i="1" s="1"/>
  <c r="AI76" i="1" s="1"/>
  <c r="AF75" i="1"/>
  <c r="AH75" i="1" s="1"/>
  <c r="AI75" i="1" s="1"/>
  <c r="AH73" i="1"/>
  <c r="AI73" i="1" s="1"/>
  <c r="V75" i="1"/>
  <c r="X75" i="1" s="1"/>
  <c r="Y75" i="1" s="1"/>
  <c r="AB32" i="1"/>
  <c r="AB33" i="1" s="1"/>
  <c r="AB30" i="1"/>
  <c r="I66" i="1"/>
  <c r="J66" i="1" s="1"/>
  <c r="H23" i="1"/>
  <c r="AR13" i="1"/>
  <c r="AS13" i="1" s="1"/>
  <c r="L21" i="1"/>
  <c r="N20" i="1"/>
  <c r="O20" i="1" s="1"/>
  <c r="W26" i="1"/>
  <c r="W29" i="1" s="1"/>
  <c r="AP66" i="1"/>
  <c r="AR66" i="1" s="1"/>
  <c r="AS66" i="1" s="1"/>
  <c r="N21" i="1"/>
  <c r="O21" i="1" s="1"/>
  <c r="M23" i="1"/>
  <c r="AA26" i="1"/>
  <c r="AR37" i="1"/>
  <c r="AS37" i="1" s="1"/>
  <c r="V68" i="1"/>
  <c r="Y68" i="1" s="1"/>
  <c r="AP57" i="1"/>
  <c r="V70" i="1"/>
  <c r="X70" i="1" s="1"/>
  <c r="Y70" i="1" s="1"/>
  <c r="AK70" i="1"/>
  <c r="AM70" i="1" s="1"/>
  <c r="AN70" i="1" s="1"/>
  <c r="G21" i="1"/>
  <c r="V21" i="1"/>
  <c r="AK21" i="1"/>
  <c r="AA75" i="1"/>
  <c r="AC75" i="1" s="1"/>
  <c r="AD75" i="1" s="1"/>
  <c r="AP50" i="1"/>
  <c r="AR50" i="1" s="1"/>
  <c r="AS50" i="1" s="1"/>
  <c r="AP73" i="1"/>
  <c r="B76" i="1"/>
  <c r="D76" i="1" s="1"/>
  <c r="E76" i="1" s="1"/>
  <c r="AP77" i="1"/>
  <c r="AR77" i="1" s="1"/>
  <c r="AS77" i="1" s="1"/>
  <c r="S65" i="1"/>
  <c r="T65" i="1" s="1"/>
  <c r="D73" i="1"/>
  <c r="E73" i="1" s="1"/>
  <c r="AP65" i="1"/>
  <c r="AR60" i="1" l="1"/>
  <c r="AS60" i="1" s="1"/>
  <c r="AR57" i="1"/>
  <c r="AS57" i="1" s="1"/>
  <c r="AP69" i="1"/>
  <c r="AR69" i="1" s="1"/>
  <c r="AS69" i="1" s="1"/>
  <c r="AQ29" i="1"/>
  <c r="AQ30" i="1" s="1"/>
  <c r="AQ32" i="1"/>
  <c r="AQ33" i="1" s="1"/>
  <c r="AA29" i="1"/>
  <c r="AC26" i="1"/>
  <c r="AD26" i="1" s="1"/>
  <c r="AR73" i="1"/>
  <c r="AS73" i="1" s="1"/>
  <c r="AP75" i="1"/>
  <c r="AR75" i="1" s="1"/>
  <c r="AS75" i="1" s="1"/>
  <c r="AL30" i="1"/>
  <c r="AL32" i="1"/>
  <c r="AL33" i="1" s="1"/>
  <c r="D26" i="1"/>
  <c r="E26" i="1" s="1"/>
  <c r="B29" i="1"/>
  <c r="R30" i="1"/>
  <c r="R32" i="1"/>
  <c r="R33" i="1" s="1"/>
  <c r="AK25" i="1"/>
  <c r="AN25" i="1" s="1"/>
  <c r="AK26" i="1"/>
  <c r="AK23" i="1"/>
  <c r="AN23" i="1" s="1"/>
  <c r="AM21" i="1"/>
  <c r="AN21" i="1" s="1"/>
  <c r="W32" i="1"/>
  <c r="W33" i="1" s="1"/>
  <c r="W30" i="1"/>
  <c r="Q26" i="1"/>
  <c r="Q25" i="1"/>
  <c r="T25" i="1" s="1"/>
  <c r="Q23" i="1"/>
  <c r="T23" i="1" s="1"/>
  <c r="S21" i="1"/>
  <c r="T21" i="1" s="1"/>
  <c r="H32" i="1"/>
  <c r="H33" i="1" s="1"/>
  <c r="H30" i="1"/>
  <c r="V23" i="1"/>
  <c r="Y23" i="1" s="1"/>
  <c r="V26" i="1"/>
  <c r="X21" i="1"/>
  <c r="Y21" i="1" s="1"/>
  <c r="V25" i="1"/>
  <c r="Y25" i="1" s="1"/>
  <c r="AG32" i="1"/>
  <c r="AG33" i="1" s="1"/>
  <c r="AG30" i="1"/>
  <c r="AR21" i="1"/>
  <c r="AS21" i="1" s="1"/>
  <c r="AP25" i="1"/>
  <c r="AS25" i="1" s="1"/>
  <c r="AP26" i="1"/>
  <c r="G23" i="1"/>
  <c r="J23" i="1" s="1"/>
  <c r="G25" i="1"/>
  <c r="J25" i="1" s="1"/>
  <c r="G26" i="1"/>
  <c r="I21" i="1"/>
  <c r="J21" i="1" s="1"/>
  <c r="N22" i="1"/>
  <c r="O22" i="1" s="1"/>
  <c r="L23" i="1"/>
  <c r="L26" i="1"/>
  <c r="L25" i="1"/>
  <c r="AP76" i="1"/>
  <c r="AR76" i="1" s="1"/>
  <c r="AS76" i="1" s="1"/>
  <c r="AS23" i="1"/>
  <c r="AI23" i="1"/>
  <c r="AH26" i="1"/>
  <c r="AI26" i="1" s="1"/>
  <c r="AF29" i="1"/>
  <c r="N32" i="1"/>
  <c r="O32" i="1" s="1"/>
  <c r="M33" i="1"/>
  <c r="AP68" i="1"/>
  <c r="AS68" i="1" s="1"/>
  <c r="AR65" i="1"/>
  <c r="AS65" i="1" s="1"/>
  <c r="AP70" i="1"/>
  <c r="AR70" i="1" s="1"/>
  <c r="AS70" i="1" s="1"/>
  <c r="AR61" i="1"/>
  <c r="AS61" i="1" s="1"/>
  <c r="AI25" i="1"/>
  <c r="C30" i="1"/>
  <c r="C32" i="1"/>
  <c r="C33" i="1" s="1"/>
  <c r="AP29" i="1" l="1"/>
  <c r="AR26" i="1"/>
  <c r="AS26" i="1" s="1"/>
  <c r="AP32" i="1"/>
  <c r="AF32" i="1"/>
  <c r="AF30" i="1"/>
  <c r="AI30" i="1" s="1"/>
  <c r="AH29" i="1"/>
  <c r="AI29" i="1" s="1"/>
  <c r="S26" i="1"/>
  <c r="T26" i="1" s="1"/>
  <c r="Q29" i="1"/>
  <c r="O25" i="1"/>
  <c r="N26" i="1"/>
  <c r="O26" i="1" s="1"/>
  <c r="O23" i="1"/>
  <c r="N24" i="1"/>
  <c r="O24" i="1" s="1"/>
  <c r="AC29" i="1"/>
  <c r="AD29" i="1" s="1"/>
  <c r="AA30" i="1"/>
  <c r="AD30" i="1" s="1"/>
  <c r="AA32" i="1"/>
  <c r="V29" i="1"/>
  <c r="X26" i="1"/>
  <c r="Y26" i="1" s="1"/>
  <c r="AK29" i="1"/>
  <c r="AM26" i="1"/>
  <c r="AN26" i="1" s="1"/>
  <c r="G29" i="1"/>
  <c r="I26" i="1"/>
  <c r="J26" i="1" s="1"/>
  <c r="B32" i="1"/>
  <c r="B30" i="1"/>
  <c r="E30" i="1" s="1"/>
  <c r="D29" i="1"/>
  <c r="E29" i="1" s="1"/>
  <c r="L29" i="1"/>
  <c r="N27" i="1"/>
  <c r="O27" i="1" s="1"/>
  <c r="G32" i="1" l="1"/>
  <c r="G30" i="1"/>
  <c r="J30" i="1" s="1"/>
  <c r="I29" i="1"/>
  <c r="J29" i="1" s="1"/>
  <c r="Q32" i="1"/>
  <c r="Q30" i="1"/>
  <c r="T30" i="1" s="1"/>
  <c r="S29" i="1"/>
  <c r="T29" i="1" s="1"/>
  <c r="B33" i="1"/>
  <c r="E33" i="1" s="1"/>
  <c r="D32" i="1"/>
  <c r="E32" i="1" s="1"/>
  <c r="AK30" i="1"/>
  <c r="AN30" i="1" s="1"/>
  <c r="AK32" i="1"/>
  <c r="AM29" i="1"/>
  <c r="AN29" i="1" s="1"/>
  <c r="V32" i="1"/>
  <c r="V30" i="1"/>
  <c r="Y30" i="1" s="1"/>
  <c r="X29" i="1"/>
  <c r="Y29" i="1" s="1"/>
  <c r="AH32" i="1"/>
  <c r="AI32" i="1" s="1"/>
  <c r="AF33" i="1"/>
  <c r="AI33" i="1" s="1"/>
  <c r="AC32" i="1"/>
  <c r="AD32" i="1" s="1"/>
  <c r="AA33" i="1"/>
  <c r="AD33" i="1" s="1"/>
  <c r="AP33" i="1"/>
  <c r="AS33" i="1" s="1"/>
  <c r="AR32" i="1"/>
  <c r="AS32" i="1" s="1"/>
  <c r="L32" i="1"/>
  <c r="L33" i="1" s="1"/>
  <c r="O33" i="1" s="1"/>
  <c r="L30" i="1"/>
  <c r="AR29" i="1"/>
  <c r="AS29" i="1" s="1"/>
  <c r="AP30" i="1"/>
  <c r="AS30" i="1" s="1"/>
  <c r="O30" i="1" l="1"/>
  <c r="N31" i="1"/>
  <c r="O31" i="1" s="1"/>
  <c r="V33" i="1"/>
  <c r="Y33" i="1" s="1"/>
  <c r="X32" i="1"/>
  <c r="Y32" i="1" s="1"/>
  <c r="Q33" i="1"/>
  <c r="T33" i="1" s="1"/>
  <c r="S32" i="1"/>
  <c r="T32" i="1" s="1"/>
  <c r="AK33" i="1"/>
  <c r="AN33" i="1" s="1"/>
  <c r="AM32" i="1"/>
  <c r="AN32" i="1" s="1"/>
  <c r="G33" i="1"/>
  <c r="J33" i="1" s="1"/>
  <c r="I32" i="1"/>
  <c r="J32" i="1" s="1"/>
</calcChain>
</file>

<file path=xl/sharedStrings.xml><?xml version="1.0" encoding="utf-8"?>
<sst xmlns="http://schemas.openxmlformats.org/spreadsheetml/2006/main" count="135" uniqueCount="82">
  <si>
    <t>REGION IV - B</t>
  </si>
  <si>
    <t xml:space="preserve"> </t>
  </si>
  <si>
    <t>`</t>
  </si>
  <si>
    <t>With Comparative Figures as of December 31, 2005</t>
  </si>
  <si>
    <t>(In Thousand)</t>
  </si>
  <si>
    <t>BISELCO</t>
  </si>
  <si>
    <t>LUBELCO</t>
  </si>
  <si>
    <t>MARELCO</t>
  </si>
  <si>
    <t>OMECO</t>
  </si>
  <si>
    <t>ORMECO</t>
  </si>
  <si>
    <t>PALECO</t>
  </si>
  <si>
    <t>ROMELCO</t>
  </si>
  <si>
    <t>TIELCO</t>
  </si>
  <si>
    <t>T O T A L</t>
  </si>
  <si>
    <t>Inc. / (Dec.)</t>
  </si>
  <si>
    <t>June</t>
  </si>
  <si>
    <t>Amount</t>
  </si>
  <si>
    <t>Percent</t>
  </si>
  <si>
    <t>STATEMENT OF OPERATIONS</t>
  </si>
  <si>
    <t xml:space="preserve">  Total Bills</t>
  </si>
  <si>
    <t xml:space="preserve">  Less:  RFSC</t>
  </si>
  <si>
    <t xml:space="preserve">            Universal Charge</t>
  </si>
  <si>
    <t xml:space="preserve">            Value Added Tax</t>
  </si>
  <si>
    <t xml:space="preserve">            Other Taxes</t>
  </si>
  <si>
    <t xml:space="preserve">            Others</t>
  </si>
  <si>
    <t xml:space="preserve">  Net Operating Revenue</t>
  </si>
  <si>
    <t xml:space="preserve">  Add:  Other Revenue</t>
  </si>
  <si>
    <t xml:space="preserve">  Total </t>
  </si>
  <si>
    <t xml:space="preserve">  Power Cost</t>
  </si>
  <si>
    <t xml:space="preserve">  %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</si>
  <si>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</si>
  <si>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</si>
  <si>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</si>
  <si>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</si>
  <si>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</si>
  <si>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</si>
  <si>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</si>
  <si>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</si>
  <si>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Cash-General Fund</t>
  </si>
  <si>
    <t xml:space="preserve">  Sinking Fund-Loan Fund</t>
  </si>
  <si>
    <t xml:space="preserve">  Sinking Fund-RF/RFSC</t>
  </si>
  <si>
    <t xml:space="preserve">  A/R - Energy Sales</t>
  </si>
  <si>
    <t xml:space="preserve">            Energy</t>
  </si>
  <si>
    <t xml:space="preserve">            RFSC</t>
  </si>
  <si>
    <t xml:space="preserve">            UC</t>
  </si>
  <si>
    <t xml:space="preserve">            VAT</t>
  </si>
  <si>
    <t xml:space="preserve">            FRANCHISE, BUSINESS, RPT &amp; OTHER TAXES</t>
  </si>
  <si>
    <t xml:space="preserve">    Amount</t>
  </si>
  <si>
    <t xml:space="preserve">    No. of Month's Sales</t>
  </si>
  <si>
    <t xml:space="preserve">  A/P - Power</t>
  </si>
  <si>
    <t xml:space="preserve">    No. of Month's Purchases</t>
  </si>
  <si>
    <t xml:space="preserve">  Ave. Monthly Power Payments</t>
  </si>
  <si>
    <t xml:space="preserve">  Advances to Officers &amp; Employees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</si>
  <si>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</si>
  <si>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</si>
  <si>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</si>
  <si>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</si>
  <si>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</si>
  <si>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</si>
  <si>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</si>
  <si>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</si>
  <si>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</si>
  <si>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</si>
  <si>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</si>
  <si>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</si>
  <si>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</t>
  </si>
  <si>
    <t xml:space="preserve">  Average Systems Rate (P)</t>
  </si>
  <si>
    <t xml:space="preserve">  Average Power Cost (P)</t>
  </si>
  <si>
    <t xml:space="preserve">  Average Collection Period</t>
  </si>
  <si>
    <t xml:space="preserve">  Number of Consumers</t>
  </si>
  <si>
    <t xml:space="preserve">  Number of Employees-Actual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</si>
  <si>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</si>
  <si>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</si>
  <si>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</si>
  <si>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</si>
  <si>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AAA - Large</t>
  </si>
  <si>
    <t>AAA - Small</t>
  </si>
  <si>
    <t>AAA - Extra Large</t>
  </si>
  <si>
    <t>AA - Mega Large</t>
  </si>
  <si>
    <t>AAA - Mega Large</t>
  </si>
  <si>
    <t xml:space="preserve">  Average Collection Efficiency (%)*</t>
  </si>
  <si>
    <t>*Average Collection Efficiency Includes outstanding power bills of member-consumer-owners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</si>
</sst>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_)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1" applyNumberFormat="1" applyFont="1" applyFill="1"/>
    <xf numFmtId="43" fontId="2" fillId="0" borderId="0" xfId="1" applyNumberFormat="1" applyFont="1" applyFill="1"/>
    <xf numFmtId="164" fontId="2" fillId="0" borderId="0" xfId="1" applyNumberFormat="1" applyFont="1" applyFill="1" applyAlignment="1">
      <alignment horizontal="right"/>
    </xf>
    <xf numFmtId="164" fontId="2" fillId="0" borderId="0" xfId="0" applyNumberFormat="1" applyFont="1"/>
    <xf numFmtId="43" fontId="2" fillId="0" borderId="0" xfId="1" applyFont="1" applyFill="1"/>
    <xf numFmtId="165" fontId="2" fillId="0" borderId="0" xfId="0" applyNumberFormat="1" applyFont="1"/>
    <xf numFmtId="43" fontId="2" fillId="0" borderId="0" xfId="1" applyFont="1" applyFill="1" applyAlignment="1">
      <alignment horizontal="right"/>
    </xf>
    <xf numFmtId="43" fontId="5" fillId="0" borderId="0" xfId="0" applyNumberFormat="1" applyFont="1" applyAlignment="1">
      <alignment horizontal="left"/>
    </xf>
    <xf numFmtId="43" fontId="2" fillId="0" borderId="0" xfId="1" applyNumberFormat="1" applyFont="1" applyFill="1" applyAlignment="1">
      <alignment horizontal="right"/>
    </xf>
    <xf numFmtId="43" fontId="2" fillId="0" borderId="0" xfId="0" applyNumberFormat="1" applyFont="1"/>
    <xf numFmtId="164" fontId="5" fillId="0" borderId="0" xfId="0" applyNumberFormat="1" applyFont="1" applyAlignment="1">
      <alignment horizontal="left"/>
    </xf>
    <xf numFmtId="43" fontId="6" fillId="0" borderId="0" xfId="1" applyFont="1" applyFill="1"/>
    <xf numFmtId="43" fontId="7" fillId="0" borderId="0" xfId="1" applyNumberFormat="1" applyFont="1" applyFill="1"/>
    <xf numFmtId="43" fontId="2" fillId="0" borderId="0" xfId="0" applyNumberFormat="1" applyFont="1" applyAlignment="1">
      <alignment horizontal="left"/>
    </xf>
    <xf numFmtId="43" fontId="7" fillId="0" borderId="0" xfId="0" applyNumberFormat="1" applyFont="1" applyAlignment="1">
      <alignment horizontal="left"/>
    </xf>
    <xf numFmtId="43" fontId="7" fillId="0" borderId="0" xfId="1" applyNumberFormat="1" applyFont="1" applyFill="1" applyAlignment="1">
      <alignment horizontal="right"/>
    </xf>
    <xf numFmtId="43" fontId="7" fillId="0" borderId="0" xfId="0" applyNumberFormat="1" applyFont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Admin\Documents\COB%20Evaluation\Financial%20Profile\2023\Q2\Consolidated%20Financial%20Profile%20as%20of%20June%2030,%202023%20fas%20v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My%20Drive\AAA\USB%201\MARCH%202020%20FILES%20(KPS%20&amp;%20FP)\TREASURY\2022\EC%20Outstanding_June2022_MCS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Admin\Documents\COB%20Evaluation\Financial%20Profile\2023\Q2\Consolidated%20Financial%20Profile%20as%20of%20June%2030,%202023%20as%20of%20Nov%2030,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Default.Default-THINK\Downloads\March%202019%20Financial%20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Financial Profile as of June 30, 2023</v>
          </cell>
        </row>
      </sheetData>
      <sheetData sheetId="9">
        <row r="2">
          <cell r="A2" t="str">
            <v>Financial Profile as of June 30, 2023</v>
          </cell>
        </row>
        <row r="4">
          <cell r="A4" t="str">
            <v>With Comparative Figures as of June 30, 2022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Financial Profile as of June 30, 2023</v>
          </cell>
        </row>
      </sheetData>
      <sheetData sheetId="19">
        <row r="2">
          <cell r="A2" t="str">
            <v>Financial Profile as of June 30, 2023</v>
          </cell>
        </row>
      </sheetData>
      <sheetData sheetId="20">
        <row r="2">
          <cell r="A2" t="str">
            <v>Financial Profile as of June 30, 2023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</row>
        <row r="57">
          <cell r="D57">
            <v>54301.008520000003</v>
          </cell>
          <cell r="E57">
            <v>54301.008520000003</v>
          </cell>
          <cell r="F57">
            <v>0</v>
          </cell>
          <cell r="I57">
            <v>0</v>
          </cell>
          <cell r="K57">
            <v>10826.703</v>
          </cell>
        </row>
        <row r="58">
          <cell r="D58">
            <v>33386.445050000002</v>
          </cell>
          <cell r="E58">
            <v>33387.64748</v>
          </cell>
          <cell r="F58">
            <v>-1.2024299999975483</v>
          </cell>
          <cell r="I58">
            <v>-2.2260667692245214E-3</v>
          </cell>
          <cell r="K58">
            <v>13119.856470000001</v>
          </cell>
        </row>
        <row r="59">
          <cell r="D59">
            <v>256667.40521</v>
          </cell>
          <cell r="E59">
            <v>259625.35821000001</v>
          </cell>
          <cell r="F59">
            <v>-2957.9530000000086</v>
          </cell>
          <cell r="I59">
            <v>-1.0000202847094228</v>
          </cell>
          <cell r="K59">
            <v>43761.491719999998</v>
          </cell>
        </row>
        <row r="60">
          <cell r="D60">
            <v>402701.17642999999</v>
          </cell>
          <cell r="E60">
            <v>402701.18076999998</v>
          </cell>
          <cell r="F60">
            <v>-4.3399999849498272E-3</v>
          </cell>
          <cell r="I60">
            <v>-4.2593274707876153E-7</v>
          </cell>
          <cell r="K60">
            <v>150221.88644</v>
          </cell>
        </row>
        <row r="61">
          <cell r="D61">
            <v>524893.56476999994</v>
          </cell>
          <cell r="E61">
            <v>525980.47461999999</v>
          </cell>
          <cell r="F61">
            <v>-1086.9098500000546</v>
          </cell>
          <cell r="I61">
            <v>-9.7384795297120796E-2</v>
          </cell>
          <cell r="K61">
            <v>159662.78868999999</v>
          </cell>
        </row>
        <row r="62">
          <cell r="D62">
            <v>2556.4422400000003</v>
          </cell>
          <cell r="E62">
            <v>2562.92031</v>
          </cell>
          <cell r="F62">
            <v>-6.4780699999996614</v>
          </cell>
          <cell r="I62">
            <v>0</v>
          </cell>
          <cell r="K62">
            <v>18584.01252</v>
          </cell>
        </row>
        <row r="63">
          <cell r="D63">
            <v>95828.37337999999</v>
          </cell>
          <cell r="E63">
            <v>96009.127629999988</v>
          </cell>
          <cell r="F63">
            <v>-180.75424999999814</v>
          </cell>
          <cell r="I63">
            <v>-0.12047504375657224</v>
          </cell>
          <cell r="K63">
            <v>23165.322039999999</v>
          </cell>
        </row>
        <row r="65">
          <cell r="I65">
            <v>-0.20834752229651995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CURRENT"/>
      <sheetName val="ADVANCE"/>
      <sheetName val="NO ACCT"/>
      <sheetName val="SUMMARY-NEA"/>
      <sheetName val="OUTSTANDING"/>
      <sheetName val="status"/>
      <sheetName val="financial profile(mcso)"/>
      <sheetName val="NEA-BIT_FOR UPLOAD"/>
      <sheetName val="NEA-B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>
            <v>1045123.6998099999</v>
          </cell>
        </row>
        <row r="57">
          <cell r="D57">
            <v>51396.004520000002</v>
          </cell>
          <cell r="E57">
            <v>51396.004520000002</v>
          </cell>
          <cell r="F57">
            <v>0</v>
          </cell>
          <cell r="I57">
            <v>0</v>
          </cell>
          <cell r="K57">
            <v>13000</v>
          </cell>
        </row>
        <row r="58">
          <cell r="D58">
            <v>31225.80905</v>
          </cell>
          <cell r="E58">
            <v>31227.011480000001</v>
          </cell>
          <cell r="F58">
            <v>-1.2024300000011863</v>
          </cell>
          <cell r="I58">
            <v>-2.2260667692312565E-3</v>
          </cell>
          <cell r="K58">
            <v>14617.26647</v>
          </cell>
        </row>
        <row r="59">
          <cell r="D59">
            <v>244835.83321000001</v>
          </cell>
          <cell r="E59">
            <v>246638.01063999999</v>
          </cell>
          <cell r="F59">
            <v>-1802.1774299999815</v>
          </cell>
          <cell r="I59">
            <v>-0.60927742484260972</v>
          </cell>
          <cell r="K59">
            <v>53666.122289999999</v>
          </cell>
        </row>
        <row r="60">
          <cell r="D60">
            <v>365688.04443000001</v>
          </cell>
          <cell r="E60">
            <v>365688.04876999999</v>
          </cell>
          <cell r="F60">
            <v>-4.3399999849498272E-3</v>
          </cell>
          <cell r="I60">
            <v>-6.7339795444506687E-7</v>
          </cell>
          <cell r="K60">
            <v>108547.33779000001</v>
          </cell>
        </row>
        <row r="61">
          <cell r="D61">
            <v>480754.99576999998</v>
          </cell>
          <cell r="E61">
            <v>482157.01062000002</v>
          </cell>
          <cell r="F61">
            <v>-1402.0148500000359</v>
          </cell>
          <cell r="I61">
            <v>-0.13157508061938697</v>
          </cell>
          <cell r="K61">
            <v>161469.07569</v>
          </cell>
        </row>
        <row r="62">
          <cell r="D62">
            <v>2556.4422400000003</v>
          </cell>
          <cell r="E62">
            <v>2562.92031</v>
          </cell>
          <cell r="F62">
            <v>-6.4780699999996614</v>
          </cell>
          <cell r="K62">
            <v>18584.01252</v>
          </cell>
        </row>
        <row r="63">
          <cell r="D63">
            <v>89826.989379999999</v>
          </cell>
          <cell r="E63">
            <v>90007.743629999997</v>
          </cell>
          <cell r="F63">
            <v>-180.75424999999814</v>
          </cell>
          <cell r="I63">
            <v>-0.12047504375657224</v>
          </cell>
          <cell r="K63">
            <v>27402.529039999998</v>
          </cell>
        </row>
        <row r="64">
          <cell r="D64">
            <v>46590.378790000002</v>
          </cell>
          <cell r="E64">
            <v>47312.112789999999</v>
          </cell>
          <cell r="F64">
            <v>-721.73399999999674</v>
          </cell>
          <cell r="I64">
            <v>-0.91857906318767268</v>
          </cell>
          <cell r="K64">
            <v>5437.6778099999992</v>
          </cell>
        </row>
      </sheetData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>
        <row r="67">
          <cell r="A67" t="str">
            <v xml:space="preserve">  MWH Generated/Purchased</v>
          </cell>
        </row>
      </sheetData>
      <sheetData sheetId="6"/>
      <sheetData sheetId="7"/>
      <sheetData sheetId="8"/>
      <sheetData sheetId="9">
        <row r="66">
          <cell r="A66" t="str">
            <v xml:space="preserve">  MWH Generated/Purchased</v>
          </cell>
        </row>
      </sheetData>
      <sheetData sheetId="10">
        <row r="65">
          <cell r="A65" t="str">
            <v xml:space="preserve">  MWH Generated/Purchased</v>
          </cell>
          <cell r="B65">
            <v>23569.723670000003</v>
          </cell>
          <cell r="D65">
            <v>23569.723670000003</v>
          </cell>
          <cell r="E65" t="e">
            <v>#DIV/0!</v>
          </cell>
          <cell r="G65">
            <v>3124.7370000000001</v>
          </cell>
          <cell r="H65">
            <v>3127.9079999999999</v>
          </cell>
          <cell r="I65">
            <v>-3.1709999999998217</v>
          </cell>
          <cell r="J65">
            <v>-0.10137766200284093</v>
          </cell>
          <cell r="L65">
            <v>38436.603199999998</v>
          </cell>
          <cell r="M65">
            <v>36689.496200000001</v>
          </cell>
          <cell r="N65">
            <v>1747.1069999999963</v>
          </cell>
          <cell r="O65">
            <v>4.7618724184062149</v>
          </cell>
          <cell r="Q65">
            <v>70692.879599999957</v>
          </cell>
          <cell r="R65">
            <v>75856.615000000005</v>
          </cell>
          <cell r="S65">
            <v>-5163.7354000000487</v>
          </cell>
          <cell r="T65">
            <v>-6.8072315117146314</v>
          </cell>
          <cell r="V65">
            <v>201258.81095811498</v>
          </cell>
          <cell r="W65">
            <v>185731.09575000001</v>
          </cell>
          <cell r="X65">
            <v>15527.715208114969</v>
          </cell>
          <cell r="Y65">
            <v>8.3603206805045556</v>
          </cell>
          <cell r="AA65">
            <v>206401.88662</v>
          </cell>
          <cell r="AB65">
            <v>189660.20546</v>
          </cell>
          <cell r="AC65">
            <v>16741.681160000007</v>
          </cell>
          <cell r="AD65">
            <v>8.8271976292522183</v>
          </cell>
          <cell r="AF65">
            <v>16624.608799999998</v>
          </cell>
          <cell r="AG65">
            <v>16057.6276</v>
          </cell>
          <cell r="AH65">
            <v>566.98119999999835</v>
          </cell>
          <cell r="AI65">
            <v>3.5309151147582867</v>
          </cell>
          <cell r="AK65">
            <v>30876.927899999999</v>
          </cell>
          <cell r="AL65">
            <v>28742.790300000001</v>
          </cell>
          <cell r="AM65">
            <v>2134.1375999999982</v>
          </cell>
          <cell r="AN65">
            <v>7.4249492750187107</v>
          </cell>
        </row>
        <row r="66">
          <cell r="A66" t="str">
            <v xml:space="preserve">  MWH Sales</v>
          </cell>
          <cell r="B66">
            <v>20997.458760000001</v>
          </cell>
          <cell r="D66">
            <v>20997.458760000001</v>
          </cell>
          <cell r="E66" t="e">
            <v>#DIV/0!</v>
          </cell>
          <cell r="G66">
            <v>2893.2111999999997</v>
          </cell>
          <cell r="H66">
            <v>2842.1504</v>
          </cell>
          <cell r="I66">
            <v>51.060799999999745</v>
          </cell>
          <cell r="J66">
            <v>1.7965551717460042</v>
          </cell>
          <cell r="L66">
            <v>34762.925779999998</v>
          </cell>
          <cell r="M66">
            <v>33412.17211</v>
          </cell>
          <cell r="N66">
            <v>1350.7536699999982</v>
          </cell>
          <cell r="O66">
            <v>4.0426993658270067</v>
          </cell>
          <cell r="Q66">
            <v>61237.338520000005</v>
          </cell>
          <cell r="R66">
            <v>66085.676900000006</v>
          </cell>
          <cell r="S66">
            <v>-4848.3383800000011</v>
          </cell>
          <cell r="T66">
            <v>-7.3364435493888394</v>
          </cell>
          <cell r="V66">
            <v>180729.56107999998</v>
          </cell>
          <cell r="W66">
            <v>164425.21156</v>
          </cell>
          <cell r="X66">
            <v>16304.349519999989</v>
          </cell>
          <cell r="Y66">
            <v>9.91596687959888</v>
          </cell>
          <cell r="AA66">
            <v>188933.59913999998</v>
          </cell>
          <cell r="AB66">
            <v>165898.67494</v>
          </cell>
          <cell r="AC66">
            <v>23034.924199999979</v>
          </cell>
          <cell r="AD66">
            <v>13.884935614061378</v>
          </cell>
          <cell r="AF66">
            <v>14970.786</v>
          </cell>
          <cell r="AG66">
            <v>14222.572</v>
          </cell>
          <cell r="AH66">
            <v>748.21399999999994</v>
          </cell>
          <cell r="AI66">
            <v>5.2607503059221639</v>
          </cell>
          <cell r="AK66">
            <v>28161.411050000006</v>
          </cell>
          <cell r="AL66">
            <v>26132.671770000001</v>
          </cell>
          <cell r="AM66">
            <v>2028.7392800000052</v>
          </cell>
          <cell r="AN66">
            <v>7.7632294847439747</v>
          </cell>
        </row>
        <row r="67">
          <cell r="A67" t="str">
            <v xml:space="preserve">  MWH Coop Consumption</v>
          </cell>
          <cell r="B67">
            <v>126.636</v>
          </cell>
          <cell r="D67">
            <v>126.636</v>
          </cell>
          <cell r="E67" t="e">
            <v>#DIV/0!</v>
          </cell>
          <cell r="G67">
            <v>7.9206000000000003</v>
          </cell>
          <cell r="H67">
            <v>7.5235000000000003</v>
          </cell>
          <cell r="I67">
            <v>0.39710000000000001</v>
          </cell>
          <cell r="J67">
            <v>5.278128530604107</v>
          </cell>
          <cell r="L67">
            <v>85.599299999999999</v>
          </cell>
          <cell r="M67">
            <v>91.755179999999996</v>
          </cell>
          <cell r="N67">
            <v>-6.1558799999999962</v>
          </cell>
          <cell r="O67">
            <v>-6.7090272178638815</v>
          </cell>
          <cell r="Q67">
            <v>122.71740000000001</v>
          </cell>
          <cell r="R67">
            <v>119.7657</v>
          </cell>
          <cell r="S67">
            <v>2.9517000000000166</v>
          </cell>
          <cell r="T67">
            <v>2.4645620574171212</v>
          </cell>
          <cell r="V67">
            <v>300.71669000000003</v>
          </cell>
          <cell r="W67">
            <v>288.00468000000001</v>
          </cell>
          <cell r="X67">
            <v>12.712010000000021</v>
          </cell>
          <cell r="Y67">
            <v>4.4138206365257746</v>
          </cell>
          <cell r="AA67">
            <v>205.90700000000001</v>
          </cell>
          <cell r="AB67">
            <v>202.524</v>
          </cell>
          <cell r="AC67">
            <v>3.3830000000000098</v>
          </cell>
          <cell r="AD67">
            <v>1.6704193083288941</v>
          </cell>
          <cell r="AF67">
            <v>51.847000000000001</v>
          </cell>
          <cell r="AG67">
            <v>32.917000000000002</v>
          </cell>
          <cell r="AH67">
            <v>18.93</v>
          </cell>
          <cell r="AI67">
            <v>57.508278397180788</v>
          </cell>
          <cell r="AK67">
            <v>43.957000000000001</v>
          </cell>
          <cell r="AL67">
            <v>44.008000000000003</v>
          </cell>
          <cell r="AM67">
            <v>-5.1000000000001933E-2</v>
          </cell>
          <cell r="AN67">
            <v>-0.11588802035993895</v>
          </cell>
        </row>
        <row r="68">
          <cell r="A68" t="str">
            <v xml:space="preserve">  Systems Loss </v>
          </cell>
          <cell r="B68">
            <v>10.376145873584615</v>
          </cell>
          <cell r="C68" t="e">
            <v>#DIV/0!</v>
          </cell>
          <cell r="E68" t="e">
            <v>#DIV/0!</v>
          </cell>
          <cell r="G68">
            <v>7.155968646321285</v>
          </cell>
          <cell r="H68">
            <v>8.8952136699672728</v>
          </cell>
          <cell r="J68">
            <v>-1.7392450236459878</v>
          </cell>
          <cell r="L68">
            <v>9.335055185105432</v>
          </cell>
          <cell r="M68">
            <v>8.6825092735942277</v>
          </cell>
          <cell r="O68">
            <v>0.65254591151120422</v>
          </cell>
          <cell r="Q68">
            <v>13.201928868660708</v>
          </cell>
          <cell r="R68">
            <v>12.722914672635996</v>
          </cell>
          <cell r="T68">
            <v>0.47901419602471229</v>
          </cell>
          <cell r="V68">
            <v>10.051005017775275</v>
          </cell>
          <cell r="W68">
            <v>11.316295435143909</v>
          </cell>
          <cell r="Y68">
            <v>-1.2652904173686341</v>
          </cell>
          <cell r="AA68">
            <v>8.3634799868768894</v>
          </cell>
          <cell r="AB68">
            <v>12.421691974265354</v>
          </cell>
          <cell r="AD68">
            <v>-4.0582119873884643</v>
          </cell>
          <cell r="AF68">
            <v>9.6361714087371393</v>
          </cell>
          <cell r="AG68">
            <v>11.222944290973592</v>
          </cell>
          <cell r="AI68">
            <v>-1.5867728822364526</v>
          </cell>
          <cell r="AK68">
            <v>8.6522851582005753</v>
          </cell>
          <cell r="AL68">
            <v>8.9278406974983202</v>
          </cell>
          <cell r="AN68">
            <v>-0.2755555392977449</v>
          </cell>
        </row>
        <row r="69">
          <cell r="A69" t="str">
            <v xml:space="preserve">  Average Systems Rate (P)</v>
          </cell>
          <cell r="B69">
            <v>11.326426138414085</v>
          </cell>
          <cell r="C69" t="e">
            <v>#DIV/0!</v>
          </cell>
          <cell r="D69" t="e">
            <v>#DIV/0!</v>
          </cell>
          <cell r="E69" t="e">
            <v>#DIV/0!</v>
          </cell>
          <cell r="G69">
            <v>0</v>
          </cell>
          <cell r="H69">
            <v>12.8923684741612</v>
          </cell>
          <cell r="I69">
            <v>-12.8923684741612</v>
          </cell>
          <cell r="J69">
            <v>-100</v>
          </cell>
          <cell r="L69">
            <v>10.245943785291471</v>
          </cell>
          <cell r="M69">
            <v>9.4501474349397085</v>
          </cell>
          <cell r="N69">
            <v>0.79579635035176288</v>
          </cell>
          <cell r="O69">
            <v>8.4209940197281181</v>
          </cell>
          <cell r="Q69">
            <v>10.970992386768348</v>
          </cell>
          <cell r="R69">
            <v>10.009163698272744</v>
          </cell>
          <cell r="S69">
            <v>0.96182868849560421</v>
          </cell>
          <cell r="T69">
            <v>9.609481046469293</v>
          </cell>
          <cell r="V69">
            <v>11.049027597920809</v>
          </cell>
          <cell r="W69">
            <v>10.626518901614036</v>
          </cell>
          <cell r="X69">
            <v>0.42250869630677279</v>
          </cell>
          <cell r="Y69">
            <v>3.9759840472555785</v>
          </cell>
          <cell r="AA69">
            <v>10.085306779367698</v>
          </cell>
          <cell r="AB69">
            <v>9.1022388086803296</v>
          </cell>
          <cell r="AC69">
            <v>0.98306797068736884</v>
          </cell>
          <cell r="AD69">
            <v>10.800287614403924</v>
          </cell>
          <cell r="AF69">
            <v>10.455189941070918</v>
          </cell>
          <cell r="AG69">
            <v>9.7962106385827941</v>
          </cell>
          <cell r="AH69">
            <v>0.65897930248812386</v>
          </cell>
          <cell r="AI69">
            <v>6.7268796762362957</v>
          </cell>
          <cell r="AK69">
            <v>10.169603921903084</v>
          </cell>
          <cell r="AL69">
            <v>9.5251461056476074</v>
          </cell>
          <cell r="AM69">
            <v>0.6444578162554766</v>
          </cell>
          <cell r="AN69">
            <v>6.7658575428398677</v>
          </cell>
        </row>
        <row r="70">
          <cell r="A70" t="str">
            <v xml:space="preserve">  Average Power Cost (P)</v>
          </cell>
          <cell r="B70">
            <v>7.3226228706142473</v>
          </cell>
          <cell r="C70" t="e">
            <v>#DIV/0!</v>
          </cell>
          <cell r="D70" t="e">
            <v>#DIV/0!</v>
          </cell>
          <cell r="E70" t="e">
            <v>#DIV/0!</v>
          </cell>
          <cell r="G70">
            <v>0</v>
          </cell>
          <cell r="H70">
            <v>6.3149610602357873</v>
          </cell>
          <cell r="I70">
            <v>-6.3149610602357873</v>
          </cell>
          <cell r="J70">
            <v>-100</v>
          </cell>
          <cell r="L70">
            <v>6.609113596958017</v>
          </cell>
          <cell r="M70">
            <v>5.9803541142655421</v>
          </cell>
          <cell r="N70">
            <v>0.62875948269247495</v>
          </cell>
          <cell r="O70">
            <v>10.513750033507741</v>
          </cell>
          <cell r="Q70">
            <v>6.8342422200608777</v>
          </cell>
          <cell r="R70">
            <v>6.1162437788714925</v>
          </cell>
          <cell r="S70">
            <v>0.71799844118938516</v>
          </cell>
          <cell r="T70">
            <v>11.739205746993017</v>
          </cell>
          <cell r="V70">
            <v>7.9765319552349796</v>
          </cell>
          <cell r="W70">
            <v>7.4483079254648716</v>
          </cell>
          <cell r="X70">
            <v>0.52822402977010796</v>
          </cell>
          <cell r="Y70">
            <v>7.0918661668668852</v>
          </cell>
          <cell r="AA70">
            <v>7.0820366477617229</v>
          </cell>
          <cell r="AB70">
            <v>6.1403790612555005</v>
          </cell>
          <cell r="AC70">
            <v>0.94165758650622244</v>
          </cell>
          <cell r="AD70">
            <v>15.335496019258542</v>
          </cell>
          <cell r="AF70">
            <v>6.3220035679877169</v>
          </cell>
          <cell r="AG70">
            <v>5.7432993140281834</v>
          </cell>
          <cell r="AH70">
            <v>0.57870425395953351</v>
          </cell>
          <cell r="AI70">
            <v>10.076163931523311</v>
          </cell>
          <cell r="AK70">
            <v>6.757837971309316</v>
          </cell>
          <cell r="AL70">
            <v>6.1101890563492018</v>
          </cell>
          <cell r="AM70">
            <v>0.64764891496011412</v>
          </cell>
          <cell r="AN70">
            <v>10.599490604748654</v>
          </cell>
        </row>
        <row r="71">
          <cell r="A71" t="str">
            <v xml:space="preserve">  Average Collection Period</v>
          </cell>
          <cell r="E71">
            <v>0</v>
          </cell>
          <cell r="J71" t="e">
            <v>#DIV/0!</v>
          </cell>
          <cell r="O71">
            <v>0</v>
          </cell>
          <cell r="T71" t="e">
            <v>#DIV/0!</v>
          </cell>
          <cell r="Y71">
            <v>0</v>
          </cell>
          <cell r="AD71">
            <v>0</v>
          </cell>
          <cell r="AI71">
            <v>0</v>
          </cell>
          <cell r="AN71">
            <v>0</v>
          </cell>
        </row>
        <row r="72">
          <cell r="A72" t="str">
            <v xml:space="preserve">  Collection Efficiency (%)</v>
          </cell>
          <cell r="B72">
            <v>100</v>
          </cell>
          <cell r="E72">
            <v>100</v>
          </cell>
          <cell r="H72">
            <v>100</v>
          </cell>
          <cell r="J72">
            <v>-100</v>
          </cell>
          <cell r="L72">
            <v>100</v>
          </cell>
          <cell r="M72">
            <v>100</v>
          </cell>
          <cell r="O72">
            <v>0</v>
          </cell>
          <cell r="Q72">
            <v>97.82</v>
          </cell>
          <cell r="R72">
            <v>97.08</v>
          </cell>
          <cell r="T72">
            <v>0.73999999999999488</v>
          </cell>
          <cell r="V72">
            <v>99.46</v>
          </cell>
          <cell r="W72">
            <v>97.36</v>
          </cell>
          <cell r="Y72">
            <v>2.0999999999999943</v>
          </cell>
          <cell r="AA72">
            <v>91.19</v>
          </cell>
          <cell r="AB72">
            <v>89.89</v>
          </cell>
          <cell r="AD72">
            <v>1.2999999999999972</v>
          </cell>
          <cell r="AF72">
            <v>96.89</v>
          </cell>
          <cell r="AG72">
            <v>95.87</v>
          </cell>
          <cell r="AI72">
            <v>1.019999999999996</v>
          </cell>
          <cell r="AK72">
            <v>100</v>
          </cell>
          <cell r="AL72">
            <v>100</v>
          </cell>
          <cell r="AN72">
            <v>0</v>
          </cell>
        </row>
        <row r="73">
          <cell r="A73" t="str">
            <v xml:space="preserve">  Number of Consumers</v>
          </cell>
          <cell r="B73">
            <v>17430</v>
          </cell>
          <cell r="C73">
            <v>17244</v>
          </cell>
          <cell r="D73">
            <v>186</v>
          </cell>
          <cell r="E73">
            <v>1.0786360473208072</v>
          </cell>
          <cell r="G73">
            <v>6902</v>
          </cell>
          <cell r="H73">
            <v>6725</v>
          </cell>
          <cell r="I73">
            <v>177</v>
          </cell>
          <cell r="J73">
            <v>2.6319702602230484</v>
          </cell>
          <cell r="L73">
            <v>63942</v>
          </cell>
          <cell r="M73">
            <v>62464</v>
          </cell>
          <cell r="N73">
            <v>1478</v>
          </cell>
          <cell r="O73">
            <v>2.3661629098360657</v>
          </cell>
          <cell r="Q73">
            <v>88331</v>
          </cell>
          <cell r="R73">
            <v>86148</v>
          </cell>
          <cell r="S73">
            <v>2183</v>
          </cell>
          <cell r="T73">
            <v>2.5340112364767609</v>
          </cell>
          <cell r="V73">
            <v>206674</v>
          </cell>
          <cell r="W73">
            <v>200537</v>
          </cell>
          <cell r="X73">
            <v>6137</v>
          </cell>
          <cell r="Y73">
            <v>3.0602831397697186</v>
          </cell>
          <cell r="AA73">
            <v>129342</v>
          </cell>
          <cell r="AB73">
            <v>126728</v>
          </cell>
          <cell r="AC73">
            <v>2614</v>
          </cell>
          <cell r="AD73">
            <v>2.0626854365254719</v>
          </cell>
          <cell r="AF73">
            <v>28616</v>
          </cell>
          <cell r="AG73">
            <v>27968</v>
          </cell>
          <cell r="AH73">
            <v>648</v>
          </cell>
          <cell r="AI73">
            <v>2.3169336384439361</v>
          </cell>
          <cell r="AK73">
            <v>46085</v>
          </cell>
          <cell r="AL73">
            <v>44741</v>
          </cell>
          <cell r="AM73">
            <v>1344</v>
          </cell>
          <cell r="AN73">
            <v>3.003956102903377</v>
          </cell>
        </row>
        <row r="74">
          <cell r="A74" t="str">
            <v xml:space="preserve">  Number of Employees-Actual</v>
          </cell>
          <cell r="B74">
            <v>39</v>
          </cell>
          <cell r="D74">
            <v>39</v>
          </cell>
          <cell r="G74">
            <v>23</v>
          </cell>
          <cell r="H74">
            <v>22</v>
          </cell>
          <cell r="I74">
            <v>1</v>
          </cell>
          <cell r="J74">
            <v>4.5454545454545459</v>
          </cell>
          <cell r="L74">
            <v>142</v>
          </cell>
          <cell r="M74">
            <v>141</v>
          </cell>
          <cell r="N74">
            <v>1</v>
          </cell>
          <cell r="O74">
            <v>0.70921985815602839</v>
          </cell>
          <cell r="Q74">
            <v>221</v>
          </cell>
          <cell r="R74">
            <v>225</v>
          </cell>
          <cell r="S74">
            <v>-4</v>
          </cell>
          <cell r="T74">
            <v>-1.7777777777777777</v>
          </cell>
          <cell r="V74">
            <v>463</v>
          </cell>
          <cell r="W74">
            <v>469</v>
          </cell>
          <cell r="X74">
            <v>-6</v>
          </cell>
          <cell r="Y74">
            <v>-1.279317697228145</v>
          </cell>
          <cell r="AA74">
            <v>336</v>
          </cell>
          <cell r="AB74">
            <v>319</v>
          </cell>
          <cell r="AC74">
            <v>17</v>
          </cell>
          <cell r="AD74">
            <v>5.3291536050156738</v>
          </cell>
          <cell r="AF74">
            <v>65</v>
          </cell>
          <cell r="AG74">
            <v>65</v>
          </cell>
          <cell r="AH74">
            <v>0</v>
          </cell>
          <cell r="AI74">
            <v>0</v>
          </cell>
          <cell r="AK74">
            <v>116</v>
          </cell>
          <cell r="AL74">
            <v>113</v>
          </cell>
          <cell r="AM74">
            <v>3</v>
          </cell>
          <cell r="AN74">
            <v>2.6548672566371683</v>
          </cell>
        </row>
        <row r="75">
          <cell r="A75" t="str">
            <v xml:space="preserve">  No. of Consumers per Employee</v>
          </cell>
          <cell r="B75">
            <v>446.92307692307691</v>
          </cell>
          <cell r="C75" t="e">
            <v>#DIV/0!</v>
          </cell>
          <cell r="D75" t="e">
            <v>#DIV/0!</v>
          </cell>
          <cell r="E75" t="e">
            <v>#DIV/0!</v>
          </cell>
          <cell r="G75">
            <v>300.08695652173913</v>
          </cell>
          <cell r="H75">
            <v>305.68181818181819</v>
          </cell>
          <cell r="I75">
            <v>-5.5948616600790615</v>
          </cell>
          <cell r="J75">
            <v>-1.8302893163083918</v>
          </cell>
          <cell r="L75">
            <v>450.2957746478873</v>
          </cell>
          <cell r="M75">
            <v>443.00709219858157</v>
          </cell>
          <cell r="N75">
            <v>7.2886824493057247</v>
          </cell>
          <cell r="O75">
            <v>1.6452744386400282</v>
          </cell>
          <cell r="Q75">
            <v>399.68778280542989</v>
          </cell>
          <cell r="R75">
            <v>382.88</v>
          </cell>
          <cell r="S75">
            <v>16.807782805429895</v>
          </cell>
          <cell r="T75">
            <v>4.389830444376801</v>
          </cell>
          <cell r="V75">
            <v>446.38012958963282</v>
          </cell>
          <cell r="W75">
            <v>427.58422174840086</v>
          </cell>
          <cell r="X75">
            <v>18.795907841231951</v>
          </cell>
          <cell r="Y75">
            <v>4.3958375649071169</v>
          </cell>
          <cell r="AA75">
            <v>384.94642857142856</v>
          </cell>
          <cell r="AB75">
            <v>397.26645768025077</v>
          </cell>
          <cell r="AC75">
            <v>-12.320029108822212</v>
          </cell>
          <cell r="AD75">
            <v>-3.1012004337749239</v>
          </cell>
          <cell r="AF75">
            <v>440.24615384615385</v>
          </cell>
          <cell r="AG75">
            <v>430.27692307692308</v>
          </cell>
          <cell r="AH75">
            <v>9.9692307692307622</v>
          </cell>
          <cell r="AI75">
            <v>2.3169336384439343</v>
          </cell>
          <cell r="AK75">
            <v>397.2844827586207</v>
          </cell>
          <cell r="AL75">
            <v>395.93805309734512</v>
          </cell>
          <cell r="AM75">
            <v>1.3464296612755788</v>
          </cell>
          <cell r="AN75">
            <v>0.34006068644898507</v>
          </cell>
        </row>
        <row r="76">
          <cell r="A76" t="str">
            <v xml:space="preserve">  Non-Power Cost/Consumer</v>
          </cell>
          <cell r="B76">
            <v>1682.4344211130235</v>
          </cell>
          <cell r="C76">
            <v>1980.9126902110879</v>
          </cell>
          <cell r="D76">
            <v>-298.4782690980644</v>
          </cell>
          <cell r="E76">
            <v>-15.067714522352738</v>
          </cell>
          <cell r="G76">
            <v>0</v>
          </cell>
          <cell r="H76">
            <v>1265.3248877323422</v>
          </cell>
          <cell r="I76">
            <v>-1265.3248877323422</v>
          </cell>
          <cell r="J76">
            <v>-100</v>
          </cell>
          <cell r="L76">
            <v>964.59654202245792</v>
          </cell>
          <cell r="M76">
            <v>924.7668999743853</v>
          </cell>
          <cell r="N76">
            <v>39.829642048072628</v>
          </cell>
          <cell r="O76">
            <v>4.3069926106974474</v>
          </cell>
          <cell r="Q76">
            <v>1022.4104165015681</v>
          </cell>
          <cell r="R76">
            <v>946.28685100060363</v>
          </cell>
          <cell r="S76">
            <v>76.123565500964446</v>
          </cell>
          <cell r="T76">
            <v>8.0444492513524199</v>
          </cell>
          <cell r="V76">
            <v>924.80270846840915</v>
          </cell>
          <cell r="W76">
            <v>593.93624388516832</v>
          </cell>
          <cell r="X76">
            <v>330.86646458324083</v>
          </cell>
          <cell r="Y76">
            <v>55.707404286176313</v>
          </cell>
          <cell r="AA76">
            <v>1567.3743214887666</v>
          </cell>
          <cell r="AB76">
            <v>1199.8230806135978</v>
          </cell>
          <cell r="AC76">
            <v>367.55124087516879</v>
          </cell>
          <cell r="AD76">
            <v>30.633786498522813</v>
          </cell>
          <cell r="AF76">
            <v>942.73139152921442</v>
          </cell>
          <cell r="AG76">
            <v>931.17977617276892</v>
          </cell>
          <cell r="AH76">
            <v>11.551615356445495</v>
          </cell>
          <cell r="AI76">
            <v>1.2405354639384087</v>
          </cell>
          <cell r="AK76">
            <v>936.76390213735476</v>
          </cell>
          <cell r="AL76">
            <v>871.7552370309113</v>
          </cell>
          <cell r="AM76">
            <v>65.008665106443459</v>
          </cell>
          <cell r="AN76">
            <v>7.457215322027178</v>
          </cell>
        </row>
        <row r="77">
          <cell r="A77" t="str">
            <v xml:space="preserve">  Peak Load</v>
          </cell>
          <cell r="B77">
            <v>7806</v>
          </cell>
          <cell r="C77">
            <v>6741</v>
          </cell>
          <cell r="D77">
            <v>1065</v>
          </cell>
          <cell r="E77">
            <v>15.798842901646641</v>
          </cell>
          <cell r="G77">
            <v>1300</v>
          </cell>
          <cell r="H77">
            <v>1290</v>
          </cell>
          <cell r="I77">
            <v>10</v>
          </cell>
          <cell r="J77">
            <v>0.77519379844961245</v>
          </cell>
          <cell r="L77">
            <v>14145</v>
          </cell>
          <cell r="M77">
            <v>12971</v>
          </cell>
          <cell r="N77">
            <v>1174</v>
          </cell>
          <cell r="O77">
            <v>9.0509598334746748</v>
          </cell>
          <cell r="Q77">
            <v>30070</v>
          </cell>
          <cell r="R77">
            <v>26470</v>
          </cell>
          <cell r="S77">
            <v>3600</v>
          </cell>
          <cell r="T77">
            <v>13.600302228938421</v>
          </cell>
          <cell r="V77">
            <v>70690</v>
          </cell>
          <cell r="W77">
            <v>65900</v>
          </cell>
          <cell r="X77">
            <v>4790</v>
          </cell>
          <cell r="Y77">
            <v>7.2685887708649464</v>
          </cell>
          <cell r="AA77">
            <v>60739.999999999993</v>
          </cell>
          <cell r="AB77">
            <v>56830</v>
          </cell>
          <cell r="AC77">
            <v>3909.9999999999927</v>
          </cell>
          <cell r="AD77">
            <v>6.8801689248636153</v>
          </cell>
          <cell r="AF77">
            <v>6260</v>
          </cell>
          <cell r="AG77">
            <v>5745</v>
          </cell>
          <cell r="AH77">
            <v>515</v>
          </cell>
          <cell r="AI77">
            <v>8.9643167972149698</v>
          </cell>
          <cell r="AK77">
            <v>11482</v>
          </cell>
          <cell r="AL77">
            <v>9763</v>
          </cell>
          <cell r="AM77">
            <v>1719</v>
          </cell>
          <cell r="AN77">
            <v>17.607292840315477</v>
          </cell>
        </row>
      </sheetData>
      <sheetData sheetId="11"/>
      <sheetData sheetId="12"/>
      <sheetData sheetId="13"/>
      <sheetData sheetId="14">
        <row r="61">
          <cell r="A61" t="str">
            <v xml:space="preserve">  MWH Generated/Purchased</v>
          </cell>
        </row>
      </sheetData>
      <sheetData sheetId="15"/>
      <sheetData sheetId="16">
        <row r="63">
          <cell r="A63" t="str">
            <v xml:space="preserve">  MWH Generated/Purchased</v>
          </cell>
        </row>
      </sheetData>
      <sheetData sheetId="17"/>
      <sheetData sheetId="18"/>
      <sheetData sheetId="19">
        <row r="66">
          <cell r="A66" t="str">
            <v xml:space="preserve">  MWH Generated/Purchased</v>
          </cell>
        </row>
      </sheetData>
      <sheetData sheetId="20">
        <row r="67">
          <cell r="A67" t="str">
            <v xml:space="preserve">  MWH Generated/Purchased</v>
          </cell>
        </row>
      </sheetData>
      <sheetData sheetId="21"/>
      <sheetData sheetId="22">
        <row r="65">
          <cell r="A65" t="str">
            <v xml:space="preserve">  MWH Generated/Purchased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I"/>
      <sheetName val="REG IIok"/>
      <sheetName val="CAR"/>
      <sheetName val="REG IIIok"/>
      <sheetName val="REG IV-A"/>
      <sheetName val="REG IV-B"/>
      <sheetName val="REG V"/>
      <sheetName val="REG VIok"/>
      <sheetName val="NIR"/>
      <sheetName val="REG VII"/>
      <sheetName val="REG VIII"/>
      <sheetName val="REG IXok"/>
      <sheetName val="REG X"/>
      <sheetName val="REG XI"/>
      <sheetName val="REG XII"/>
      <sheetName val="ARMM"/>
      <sheetName val="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L97" t="str">
            <v>39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F252"/>
  <sheetViews>
    <sheetView tabSelected="1" zoomScale="80" zoomScaleNormal="80" workbookViewId="0">
      <pane xSplit="1" ySplit="10" topLeftCell="B61" activePane="bottomRight" state="frozen"/>
      <selection activeCell="C83" sqref="C83"/>
      <selection pane="topRight" activeCell="C83" sqref="C83"/>
      <selection pane="bottomLeft" activeCell="C83" sqref="C83"/>
      <selection pane="bottomRight" activeCell="A81" sqref="A81"/>
    </sheetView>
  </sheetViews>
  <sheetFormatPr defaultColWidth="12.5546875" defaultRowHeight="15" x14ac:dyDescent="0.25"/>
  <cols>
    <col min="1" max="1" width="49.33203125" style="3" customWidth="1"/>
    <col min="2" max="3" width="14.33203125" style="3" customWidth="1"/>
    <col min="4" max="4" width="12.88671875" style="3" bestFit="1" customWidth="1"/>
    <col min="5" max="5" width="12.44140625" style="3" bestFit="1" customWidth="1"/>
    <col min="6" max="6" width="1.33203125" style="3" customWidth="1"/>
    <col min="7" max="8" width="12.88671875" style="3" customWidth="1"/>
    <col min="9" max="9" width="13.88671875" style="3" bestFit="1" customWidth="1"/>
    <col min="10" max="10" width="11.109375" style="3" customWidth="1"/>
    <col min="11" max="11" width="1.6640625" style="3" customWidth="1"/>
    <col min="12" max="13" width="14.33203125" style="3" customWidth="1"/>
    <col min="14" max="14" width="16.5546875" style="3" customWidth="1"/>
    <col min="15" max="15" width="10.5546875" style="3" bestFit="1" customWidth="1"/>
    <col min="16" max="16" width="1.5546875" style="3" customWidth="1"/>
    <col min="17" max="18" width="14.33203125" style="3" customWidth="1"/>
    <col min="19" max="19" width="13.88671875" style="3" bestFit="1" customWidth="1"/>
    <col min="20" max="20" width="10.5546875" style="3" bestFit="1" customWidth="1"/>
    <col min="21" max="21" width="2.109375" style="3" customWidth="1"/>
    <col min="22" max="23" width="16.109375" style="3" customWidth="1"/>
    <col min="24" max="24" width="15.6640625" style="3" customWidth="1"/>
    <col min="25" max="25" width="10.5546875" style="3" customWidth="1"/>
    <col min="26" max="26" width="1.6640625" style="3" customWidth="1"/>
    <col min="27" max="28" width="16.109375" style="3" customWidth="1"/>
    <col min="29" max="29" width="14.33203125" style="3" bestFit="1" customWidth="1"/>
    <col min="30" max="30" width="10.5546875" style="3" bestFit="1" customWidth="1"/>
    <col min="31" max="31" width="1.88671875" style="3" customWidth="1"/>
    <col min="32" max="33" width="14.33203125" style="3" customWidth="1"/>
    <col min="34" max="34" width="13.33203125" style="3" customWidth="1"/>
    <col min="35" max="35" width="9.6640625" style="3" bestFit="1" customWidth="1"/>
    <col min="36" max="36" width="1.44140625" style="3" customWidth="1"/>
    <col min="37" max="38" width="14.33203125" style="3" customWidth="1"/>
    <col min="39" max="39" width="14" style="3" customWidth="1"/>
    <col min="40" max="40" width="9.6640625" style="3" customWidth="1"/>
    <col min="41" max="41" width="1.44140625" style="3" customWidth="1"/>
    <col min="42" max="43" width="16.109375" style="3" customWidth="1"/>
    <col min="44" max="44" width="14.33203125" style="3" customWidth="1"/>
    <col min="45" max="45" width="10.44140625" style="3" customWidth="1"/>
    <col min="46" max="46" width="6.109375" style="3" customWidth="1"/>
    <col min="47" max="48" width="12.5546875" style="3"/>
    <col min="49" max="49" width="6.109375" style="3" customWidth="1"/>
    <col min="50" max="53" width="12.5546875" style="3"/>
    <col min="54" max="54" width="6.109375" style="3" customWidth="1"/>
    <col min="55" max="58" width="12.5546875" style="3"/>
    <col min="59" max="59" width="6.109375" style="3" customWidth="1"/>
    <col min="60" max="63" width="12.5546875" style="3"/>
    <col min="64" max="64" width="6.109375" style="3" customWidth="1"/>
    <col min="65" max="68" width="12.5546875" style="3"/>
    <col min="69" max="69" width="6.109375" style="3" customWidth="1"/>
    <col min="70" max="16384" width="12.5546875" style="3"/>
  </cols>
  <sheetData>
    <row r="1" spans="1:58" ht="15.6" x14ac:dyDescent="0.3">
      <c r="A1" s="1" t="s">
        <v>0</v>
      </c>
      <c r="B1" s="2" t="s">
        <v>1</v>
      </c>
      <c r="C1" s="2" t="s">
        <v>1</v>
      </c>
      <c r="AN1" s="3" t="s">
        <v>2</v>
      </c>
    </row>
    <row r="2" spans="1:58" ht="15.6" x14ac:dyDescent="0.3">
      <c r="A2" s="1" t="str">
        <f>'[4]REG4 (CALABARZON)'!A2</f>
        <v>Financial Profile as of June 30, 2023</v>
      </c>
    </row>
    <row r="3" spans="1:58" ht="15.75" hidden="1" customHeight="1" x14ac:dyDescent="0.3">
      <c r="A3" s="1" t="s">
        <v>3</v>
      </c>
    </row>
    <row r="4" spans="1:58" ht="15.6" x14ac:dyDescent="0.3">
      <c r="A4" s="1" t="str">
        <f>'[4]REG4 (CALABARZON)'!A4</f>
        <v>With Comparative Figures as of June 30, 2022</v>
      </c>
    </row>
    <row r="5" spans="1:58" ht="15.6" x14ac:dyDescent="0.3">
      <c r="A5" s="4" t="s">
        <v>4</v>
      </c>
    </row>
    <row r="6" spans="1:58" ht="15.6" x14ac:dyDescent="0.3">
      <c r="B6" s="5"/>
      <c r="C6" s="5"/>
      <c r="D6" s="5"/>
      <c r="E6" s="5"/>
      <c r="F6" s="5"/>
      <c r="G6" s="30"/>
      <c r="H6" s="30"/>
      <c r="I6" s="30"/>
      <c r="J6" s="30"/>
      <c r="K6" s="5"/>
      <c r="L6" s="30"/>
      <c r="M6" s="30"/>
      <c r="N6" s="30"/>
      <c r="O6" s="30"/>
      <c r="P6" s="6"/>
      <c r="Q6" s="30"/>
      <c r="R6" s="30"/>
      <c r="S6" s="30"/>
      <c r="T6" s="30"/>
      <c r="U6" s="5"/>
      <c r="V6" s="30"/>
      <c r="W6" s="30"/>
      <c r="X6" s="30"/>
      <c r="Y6" s="30"/>
      <c r="Z6" s="6"/>
      <c r="AA6" s="30"/>
      <c r="AB6" s="30"/>
      <c r="AC6" s="30"/>
      <c r="AD6" s="30"/>
      <c r="AE6" s="5"/>
      <c r="AF6" s="30"/>
      <c r="AG6" s="30"/>
      <c r="AH6" s="30"/>
      <c r="AI6" s="30"/>
      <c r="AJ6" s="6"/>
      <c r="AK6" s="30"/>
      <c r="AL6" s="30"/>
      <c r="AM6" s="30"/>
      <c r="AN6" s="30"/>
      <c r="AO6" s="6"/>
      <c r="AP6" s="30"/>
      <c r="AQ6" s="30"/>
      <c r="AR6" s="30"/>
      <c r="AS6" s="30"/>
      <c r="AT6" s="6"/>
      <c r="AU6" s="5"/>
      <c r="AV6" s="7"/>
      <c r="AX6" s="5"/>
      <c r="AY6" s="5"/>
      <c r="AZ6" s="5"/>
      <c r="BA6" s="5"/>
      <c r="BB6" s="6"/>
      <c r="BC6" s="5"/>
      <c r="BD6" s="5"/>
      <c r="BE6" s="5"/>
      <c r="BF6" s="5"/>
    </row>
    <row r="7" spans="1:58" ht="15.6" x14ac:dyDescent="0.3">
      <c r="B7" s="30" t="s">
        <v>5</v>
      </c>
      <c r="C7" s="30"/>
      <c r="D7" s="30"/>
      <c r="E7" s="30"/>
      <c r="F7" s="5"/>
      <c r="G7" s="30" t="s">
        <v>6</v>
      </c>
      <c r="H7" s="30"/>
      <c r="I7" s="30"/>
      <c r="J7" s="30"/>
      <c r="K7" s="5"/>
      <c r="L7" s="30" t="s">
        <v>7</v>
      </c>
      <c r="M7" s="30"/>
      <c r="N7" s="30"/>
      <c r="O7" s="30"/>
      <c r="P7" s="6"/>
      <c r="Q7" s="30" t="s">
        <v>8</v>
      </c>
      <c r="R7" s="30"/>
      <c r="S7" s="30"/>
      <c r="T7" s="30"/>
      <c r="U7" s="5"/>
      <c r="V7" s="30" t="s">
        <v>9</v>
      </c>
      <c r="W7" s="30"/>
      <c r="X7" s="30"/>
      <c r="Y7" s="30"/>
      <c r="Z7" s="6"/>
      <c r="AA7" s="30" t="s">
        <v>10</v>
      </c>
      <c r="AB7" s="30"/>
      <c r="AC7" s="30"/>
      <c r="AD7" s="30"/>
      <c r="AE7" s="5"/>
      <c r="AF7" s="30" t="s">
        <v>11</v>
      </c>
      <c r="AG7" s="30"/>
      <c r="AH7" s="30"/>
      <c r="AI7" s="30"/>
      <c r="AJ7" s="6"/>
      <c r="AK7" s="30" t="s">
        <v>12</v>
      </c>
      <c r="AL7" s="30"/>
      <c r="AM7" s="30"/>
      <c r="AN7" s="30"/>
      <c r="AO7" s="6"/>
      <c r="AP7" s="5" t="s">
        <v>13</v>
      </c>
      <c r="AQ7" s="5"/>
      <c r="AR7" s="5"/>
      <c r="AS7" s="7"/>
      <c r="AT7" s="6"/>
      <c r="AU7" s="5"/>
      <c r="AV7" s="7"/>
      <c r="AX7" s="5"/>
      <c r="AY7" s="5"/>
      <c r="AZ7" s="5"/>
      <c r="BA7" s="5"/>
      <c r="BB7" s="6"/>
      <c r="BC7" s="5"/>
      <c r="BD7" s="5"/>
      <c r="BE7" s="5"/>
      <c r="BF7" s="5"/>
    </row>
    <row r="8" spans="1:58" x14ac:dyDescent="0.25">
      <c r="B8" s="7">
        <v>2023</v>
      </c>
      <c r="C8" s="7">
        <v>2022</v>
      </c>
      <c r="D8" s="28" t="s">
        <v>14</v>
      </c>
      <c r="E8" s="28"/>
      <c r="G8" s="7">
        <v>2023</v>
      </c>
      <c r="H8" s="7">
        <v>2022</v>
      </c>
      <c r="I8" s="28" t="s">
        <v>14</v>
      </c>
      <c r="J8" s="28"/>
      <c r="L8" s="7">
        <v>2023</v>
      </c>
      <c r="M8" s="7">
        <v>2022</v>
      </c>
      <c r="N8" s="28" t="s">
        <v>14</v>
      </c>
      <c r="O8" s="28"/>
      <c r="Q8" s="7">
        <v>2023</v>
      </c>
      <c r="R8" s="7">
        <v>2022</v>
      </c>
      <c r="S8" s="28" t="s">
        <v>14</v>
      </c>
      <c r="T8" s="28"/>
      <c r="V8" s="7">
        <v>2023</v>
      </c>
      <c r="W8" s="7">
        <v>2022</v>
      </c>
      <c r="X8" s="28" t="s">
        <v>14</v>
      </c>
      <c r="Y8" s="28"/>
      <c r="AA8" s="7">
        <v>2023</v>
      </c>
      <c r="AB8" s="7">
        <v>2022</v>
      </c>
      <c r="AC8" s="28" t="s">
        <v>14</v>
      </c>
      <c r="AD8" s="28"/>
      <c r="AF8" s="7">
        <v>2023</v>
      </c>
      <c r="AG8" s="7">
        <v>2022</v>
      </c>
      <c r="AH8" s="28" t="s">
        <v>14</v>
      </c>
      <c r="AI8" s="28"/>
      <c r="AK8" s="7">
        <v>2023</v>
      </c>
      <c r="AL8" s="7">
        <v>2022</v>
      </c>
      <c r="AM8" s="28" t="s">
        <v>14</v>
      </c>
      <c r="AN8" s="28"/>
      <c r="AP8" s="7">
        <v>2023</v>
      </c>
      <c r="AQ8" s="7">
        <v>2022</v>
      </c>
      <c r="AR8" s="28" t="s">
        <v>14</v>
      </c>
      <c r="AS8" s="28"/>
    </row>
    <row r="9" spans="1:58" x14ac:dyDescent="0.25">
      <c r="B9" s="7" t="s">
        <v>15</v>
      </c>
      <c r="C9" s="7" t="s">
        <v>15</v>
      </c>
      <c r="D9" s="7" t="s">
        <v>16</v>
      </c>
      <c r="E9" s="7" t="s">
        <v>17</v>
      </c>
      <c r="G9" s="7" t="s">
        <v>15</v>
      </c>
      <c r="H9" s="7" t="s">
        <v>15</v>
      </c>
      <c r="I9" s="7" t="s">
        <v>16</v>
      </c>
      <c r="J9" s="7" t="s">
        <v>17</v>
      </c>
      <c r="L9" s="7" t="s">
        <v>15</v>
      </c>
      <c r="M9" s="7" t="s">
        <v>15</v>
      </c>
      <c r="N9" s="7" t="s">
        <v>16</v>
      </c>
      <c r="O9" s="7" t="s">
        <v>17</v>
      </c>
      <c r="Q9" s="7" t="s">
        <v>15</v>
      </c>
      <c r="R9" s="7" t="s">
        <v>15</v>
      </c>
      <c r="S9" s="7" t="s">
        <v>16</v>
      </c>
      <c r="T9" s="7" t="s">
        <v>17</v>
      </c>
      <c r="V9" s="7" t="s">
        <v>15</v>
      </c>
      <c r="W9" s="7" t="s">
        <v>15</v>
      </c>
      <c r="X9" s="7" t="s">
        <v>16</v>
      </c>
      <c r="Y9" s="7" t="s">
        <v>17</v>
      </c>
      <c r="AA9" s="7" t="s">
        <v>15</v>
      </c>
      <c r="AB9" s="7" t="s">
        <v>15</v>
      </c>
      <c r="AC9" s="7" t="s">
        <v>16</v>
      </c>
      <c r="AD9" s="7" t="s">
        <v>17</v>
      </c>
      <c r="AF9" s="7" t="s">
        <v>15</v>
      </c>
      <c r="AG9" s="7" t="s">
        <v>15</v>
      </c>
      <c r="AH9" s="7" t="s">
        <v>16</v>
      </c>
      <c r="AI9" s="7" t="s">
        <v>17</v>
      </c>
      <c r="AK9" s="7" t="s">
        <v>15</v>
      </c>
      <c r="AL9" s="7" t="s">
        <v>15</v>
      </c>
      <c r="AM9" s="7" t="s">
        <v>16</v>
      </c>
      <c r="AN9" s="7" t="s">
        <v>17</v>
      </c>
      <c r="AP9" s="7" t="s">
        <v>15</v>
      </c>
      <c r="AQ9" s="7" t="s">
        <v>15</v>
      </c>
      <c r="AR9" s="7" t="s">
        <v>16</v>
      </c>
      <c r="AS9" s="7" t="s">
        <v>17</v>
      </c>
    </row>
    <row r="10" spans="1:58" ht="10.5" customHeight="1" x14ac:dyDescent="0.25"/>
    <row r="11" spans="1:58" ht="15.6" x14ac:dyDescent="0.3">
      <c r="A11" s="1" t="s">
        <v>18</v>
      </c>
      <c r="G11" s="2"/>
      <c r="H11" s="2"/>
      <c r="L11" s="2"/>
      <c r="M11" s="2"/>
      <c r="Q11" s="2"/>
      <c r="R11" s="2"/>
      <c r="V11" s="2"/>
      <c r="W11" s="2"/>
      <c r="AF11" s="2"/>
      <c r="AG11" s="2"/>
    </row>
    <row r="12" spans="1:58" ht="12.75" customHeight="1" x14ac:dyDescent="0.25"/>
    <row r="13" spans="1:58" s="12" customFormat="1" ht="15" customHeight="1" x14ac:dyDescent="0.25">
      <c r="A13" s="8" t="s">
        <v>19</v>
      </c>
      <c r="B13" s="9">
        <v>239260.49904000002</v>
      </c>
      <c r="C13" s="9">
        <v>157487.38235999999</v>
      </c>
      <c r="D13" s="9">
        <f t="shared" ref="D13:D22" si="0">B13-C13</f>
        <v>81773.116680000036</v>
      </c>
      <c r="E13" s="9">
        <f t="shared" ref="E13:E22" si="1">D13/C13*100</f>
        <v>51.923598865257084</v>
      </c>
      <c r="F13" s="9"/>
      <c r="G13" s="9">
        <v>39298.27968</v>
      </c>
      <c r="H13" s="9">
        <v>36739.045949999992</v>
      </c>
      <c r="I13" s="9">
        <f t="shared" ref="I13:I22" si="2">G13-H13</f>
        <v>2559.2337300000072</v>
      </c>
      <c r="J13" s="9">
        <f t="shared" ref="J13:J22" si="3">I13/H13*100</f>
        <v>6.9659776508159643</v>
      </c>
      <c r="K13" s="9"/>
      <c r="L13" s="9">
        <v>357056.02896999998</v>
      </c>
      <c r="M13" s="9">
        <v>316617.05254</v>
      </c>
      <c r="N13" s="9">
        <f t="shared" ref="N13:N19" si="4">L13-M13</f>
        <v>40438.976429999981</v>
      </c>
      <c r="O13" s="9">
        <f t="shared" ref="O13:O22" si="5">N13/M13*100</f>
        <v>12.772204183440531</v>
      </c>
      <c r="P13" s="9"/>
      <c r="Q13" s="9">
        <v>673180.70635000011</v>
      </c>
      <c r="R13" s="9">
        <v>662661.11269999994</v>
      </c>
      <c r="S13" s="9">
        <f t="shared" ref="S13:S22" si="6">Q13-R13</f>
        <v>10519.59365000017</v>
      </c>
      <c r="T13" s="9">
        <f t="shared" ref="T13:T22" si="7">S13/R13*100</f>
        <v>1.5874771355057018</v>
      </c>
      <c r="U13" s="9"/>
      <c r="V13" s="9">
        <v>2000208.5351399998</v>
      </c>
      <c r="W13" s="9">
        <v>1750328.1057200001</v>
      </c>
      <c r="X13" s="9">
        <f t="shared" ref="X13:X22" si="8">V13-W13</f>
        <v>249880.42941999971</v>
      </c>
      <c r="Y13" s="9">
        <f t="shared" ref="Y13:Y22" si="9">X13/W13*100</f>
        <v>14.276205049978961</v>
      </c>
      <c r="Z13" s="9"/>
      <c r="AA13" s="9">
        <v>1907529.9435200002</v>
      </c>
      <c r="AB13" s="9">
        <v>1511892.7791599999</v>
      </c>
      <c r="AC13" s="9">
        <f t="shared" ref="AC13:AC22" si="10">AA13-AB13</f>
        <v>395637.16436000029</v>
      </c>
      <c r="AD13" s="9">
        <f t="shared" ref="AD13:AD22" si="11">AC13/AB13*100</f>
        <v>26.168334806110678</v>
      </c>
      <c r="AE13" s="9"/>
      <c r="AF13" s="9">
        <v>157064.48143000001</v>
      </c>
      <c r="AG13" s="9">
        <v>139649.77299999999</v>
      </c>
      <c r="AH13" s="9">
        <f t="shared" ref="AH13:AH22" si="12">AF13-AG13</f>
        <v>17414.708430000028</v>
      </c>
      <c r="AI13" s="9">
        <f t="shared" ref="AI13:AI22" si="13">AH13/AG13*100</f>
        <v>12.470273353040131</v>
      </c>
      <c r="AJ13" s="9"/>
      <c r="AK13" s="9">
        <v>286837.42154000001</v>
      </c>
      <c r="AL13" s="9">
        <v>249336.69937000002</v>
      </c>
      <c r="AM13" s="9">
        <f t="shared" ref="AM13:AM22" si="14">AK13-AL13</f>
        <v>37500.722169999994</v>
      </c>
      <c r="AN13" s="9">
        <f t="shared" ref="AN13:AN22" si="15">AM13/AL13*100</f>
        <v>15.040193547421302</v>
      </c>
      <c r="AO13" s="9"/>
      <c r="AP13" s="9">
        <f t="shared" ref="AP13:AQ18" si="16">B13+G13+L13+Q13+V13+AA13+AF13+AK13</f>
        <v>5660435.8956700005</v>
      </c>
      <c r="AQ13" s="9">
        <f t="shared" si="16"/>
        <v>4824711.9507999988</v>
      </c>
      <c r="AR13" s="11">
        <f t="shared" ref="AR13:AR22" si="17">AP13-AQ13</f>
        <v>835723.94487000164</v>
      </c>
      <c r="AS13" s="11">
        <f t="shared" ref="AS13:AS22" si="18">AR13/AQ13*100</f>
        <v>17.321737616510514</v>
      </c>
    </row>
    <row r="14" spans="1:58" s="12" customFormat="1" ht="15" customHeight="1" x14ac:dyDescent="0.25">
      <c r="A14" s="8" t="s">
        <v>20</v>
      </c>
      <c r="B14" s="9">
        <v>7189.0187399999995</v>
      </c>
      <c r="C14" s="9">
        <v>5809.7963100000006</v>
      </c>
      <c r="D14" s="9">
        <f>B14-C14</f>
        <v>1379.2224299999989</v>
      </c>
      <c r="E14" s="9">
        <f>D14/C14*100</f>
        <v>23.739600433599346</v>
      </c>
      <c r="F14" s="9"/>
      <c r="G14" s="9">
        <v>1867.41805</v>
      </c>
      <c r="H14" s="9">
        <v>1837.4368900000002</v>
      </c>
      <c r="I14" s="9">
        <f>G14-H14</f>
        <v>29.981159999999818</v>
      </c>
      <c r="J14" s="9">
        <f>I14/H14*100</f>
        <v>1.6316837962255026</v>
      </c>
      <c r="K14" s="9"/>
      <c r="L14" s="9">
        <v>14862.895959999998</v>
      </c>
      <c r="M14" s="9">
        <v>14289.42499</v>
      </c>
      <c r="N14" s="9">
        <f>L14-M14</f>
        <v>573.47096999999849</v>
      </c>
      <c r="O14" s="9">
        <f>N14/M14*100</f>
        <v>4.0132543499918576</v>
      </c>
      <c r="P14" s="9"/>
      <c r="Q14" s="9">
        <v>26074.935389999999</v>
      </c>
      <c r="R14" s="9">
        <v>28139.281440000002</v>
      </c>
      <c r="S14" s="9">
        <f>Q14-R14</f>
        <v>-2064.3460500000037</v>
      </c>
      <c r="T14" s="9">
        <f>S14/R14*100</f>
        <v>-7.3361718720561742</v>
      </c>
      <c r="U14" s="9"/>
      <c r="V14" s="9">
        <v>74291.532779999994</v>
      </c>
      <c r="W14" s="9">
        <v>71835.800470000002</v>
      </c>
      <c r="X14" s="9">
        <f>V14-W14</f>
        <v>2455.7323099999921</v>
      </c>
      <c r="Y14" s="9">
        <f>X14/W14*100</f>
        <v>3.4185354571576778</v>
      </c>
      <c r="Z14" s="9"/>
      <c r="AA14" s="9">
        <v>53287.884330000001</v>
      </c>
      <c r="AB14" s="9">
        <v>46767.120229999993</v>
      </c>
      <c r="AC14" s="9">
        <f>AA14-AB14</f>
        <v>6520.7641000000076</v>
      </c>
      <c r="AD14" s="9">
        <f>AC14/AB14*100</f>
        <v>13.943052443535089</v>
      </c>
      <c r="AE14" s="9"/>
      <c r="AF14" s="9">
        <v>6621.509610000001</v>
      </c>
      <c r="AG14" s="9">
        <v>6287.5929800000004</v>
      </c>
      <c r="AH14" s="9">
        <f>AF14-AG14</f>
        <v>333.91663000000062</v>
      </c>
      <c r="AI14" s="9">
        <f>AH14/AG14*100</f>
        <v>5.3107227370178878</v>
      </c>
      <c r="AJ14" s="9"/>
      <c r="AK14" s="9">
        <v>6916.4425500000007</v>
      </c>
      <c r="AL14" s="9">
        <v>6418.184189999999</v>
      </c>
      <c r="AM14" s="9">
        <f>AK14-AL14</f>
        <v>498.25836000000163</v>
      </c>
      <c r="AN14" s="9">
        <f t="shared" si="15"/>
        <v>7.763229369084244</v>
      </c>
      <c r="AO14" s="9"/>
      <c r="AP14" s="9">
        <f>B14+G14+L14+Q14+V14+AA14+AF14+AK14</f>
        <v>191111.63741</v>
      </c>
      <c r="AQ14" s="9">
        <f>C14+H14+M14+R14+W14+AB14+AG14+AL14</f>
        <v>181384.63749999998</v>
      </c>
      <c r="AR14" s="11">
        <f>AP14-AQ14</f>
        <v>9726.9999100000132</v>
      </c>
      <c r="AS14" s="11">
        <f>AR14/AQ14*100</f>
        <v>5.362637125208586</v>
      </c>
    </row>
    <row r="15" spans="1:58" s="12" customFormat="1" ht="15" customHeight="1" x14ac:dyDescent="0.25">
      <c r="A15" s="8" t="s">
        <v>21</v>
      </c>
      <c r="B15" s="9">
        <v>4836.5050799999999</v>
      </c>
      <c r="C15" s="9">
        <v>3374.9078999999997</v>
      </c>
      <c r="D15" s="9">
        <f t="shared" si="0"/>
        <v>1461.5971800000002</v>
      </c>
      <c r="E15" s="9">
        <f t="shared" si="1"/>
        <v>43.307764931896372</v>
      </c>
      <c r="F15" s="9"/>
      <c r="G15" s="9">
        <v>716.21274999999991</v>
      </c>
      <c r="H15" s="9">
        <v>584.65235000000007</v>
      </c>
      <c r="I15" s="9">
        <f t="shared" si="2"/>
        <v>131.56039999999985</v>
      </c>
      <c r="J15" s="9">
        <f t="shared" si="3"/>
        <v>22.502329803343788</v>
      </c>
      <c r="K15" s="9"/>
      <c r="L15" s="9">
        <v>8341.1129000000001</v>
      </c>
      <c r="M15" s="9">
        <v>6663.9311299999999</v>
      </c>
      <c r="N15" s="9">
        <f t="shared" si="4"/>
        <v>1677.1817700000001</v>
      </c>
      <c r="O15" s="9">
        <f t="shared" si="5"/>
        <v>25.168053770087511</v>
      </c>
      <c r="P15" s="9"/>
      <c r="Q15" s="9">
        <v>14671.77331</v>
      </c>
      <c r="R15" s="9">
        <v>13144.434869999999</v>
      </c>
      <c r="S15" s="9">
        <f t="shared" si="6"/>
        <v>1527.3384400000014</v>
      </c>
      <c r="T15" s="9">
        <f t="shared" si="7"/>
        <v>11.619658472239831</v>
      </c>
      <c r="U15" s="9"/>
      <c r="V15" s="9">
        <v>38986.413260000001</v>
      </c>
      <c r="W15" s="9">
        <v>32443.622960000001</v>
      </c>
      <c r="X15" s="9">
        <f t="shared" si="8"/>
        <v>6542.7903000000006</v>
      </c>
      <c r="Y15" s="9">
        <f t="shared" si="9"/>
        <v>20.166645100230202</v>
      </c>
      <c r="Z15" s="9"/>
      <c r="AA15" s="9">
        <v>43304.949710000001</v>
      </c>
      <c r="AB15" s="9">
        <v>32996.627359999999</v>
      </c>
      <c r="AC15" s="9">
        <f t="shared" si="10"/>
        <v>10308.322350000002</v>
      </c>
      <c r="AD15" s="9">
        <f t="shared" si="11"/>
        <v>31.240533274913474</v>
      </c>
      <c r="AE15" s="9"/>
      <c r="AF15" s="9">
        <v>3452.6535999999996</v>
      </c>
      <c r="AG15" s="9">
        <v>2822.6259499999996</v>
      </c>
      <c r="AH15" s="9">
        <f t="shared" si="12"/>
        <v>630.02764999999999</v>
      </c>
      <c r="AI15" s="9">
        <f t="shared" si="13"/>
        <v>22.320621334895616</v>
      </c>
      <c r="AJ15" s="9"/>
      <c r="AK15" s="9">
        <v>6730.6570400000001</v>
      </c>
      <c r="AL15" s="9">
        <v>5197.7884000000004</v>
      </c>
      <c r="AM15" s="9">
        <f t="shared" si="14"/>
        <v>1532.8686399999997</v>
      </c>
      <c r="AN15" s="9">
        <f t="shared" si="15"/>
        <v>29.490785734948339</v>
      </c>
      <c r="AO15" s="9"/>
      <c r="AP15" s="9">
        <f t="shared" si="16"/>
        <v>121040.27765000002</v>
      </c>
      <c r="AQ15" s="9">
        <f t="shared" si="16"/>
        <v>97228.590920000002</v>
      </c>
      <c r="AR15" s="11">
        <f t="shared" si="17"/>
        <v>23811.686730000016</v>
      </c>
      <c r="AS15" s="11">
        <f t="shared" si="18"/>
        <v>24.49041635252366</v>
      </c>
    </row>
    <row r="16" spans="1:58" s="12" customFormat="1" ht="15" customHeight="1" x14ac:dyDescent="0.25">
      <c r="A16" s="8" t="s">
        <v>22</v>
      </c>
      <c r="B16" s="9">
        <v>25070.89273</v>
      </c>
      <c r="C16" s="9">
        <v>16427.716209999999</v>
      </c>
      <c r="D16" s="9">
        <f t="shared" si="0"/>
        <v>8643.1765200000009</v>
      </c>
      <c r="E16" s="9">
        <f t="shared" si="1"/>
        <v>52.613378570167072</v>
      </c>
      <c r="F16" s="9"/>
      <c r="G16" s="9">
        <v>4123.0450600000004</v>
      </c>
      <c r="H16" s="9">
        <v>3883.1445999999996</v>
      </c>
      <c r="I16" s="9">
        <f t="shared" si="2"/>
        <v>239.90046000000075</v>
      </c>
      <c r="J16" s="9">
        <f t="shared" si="3"/>
        <v>6.1779945047629896</v>
      </c>
      <c r="K16" s="9"/>
      <c r="L16" s="9">
        <v>37014.040070000003</v>
      </c>
      <c r="M16" s="9">
        <v>32843.162819999998</v>
      </c>
      <c r="N16" s="9">
        <f t="shared" si="4"/>
        <v>4170.877250000005</v>
      </c>
      <c r="O16" s="9">
        <f t="shared" si="5"/>
        <v>12.699377562565717</v>
      </c>
      <c r="P16" s="9"/>
      <c r="Q16" s="9">
        <v>66387.283640000009</v>
      </c>
      <c r="R16" s="9">
        <v>68217.750540000008</v>
      </c>
      <c r="S16" s="9">
        <f t="shared" si="6"/>
        <v>-1830.4668999999994</v>
      </c>
      <c r="T16" s="9">
        <f t="shared" si="7"/>
        <v>-2.6832706817658711</v>
      </c>
      <c r="U16" s="9"/>
      <c r="V16" s="9">
        <v>159294.67580999999</v>
      </c>
      <c r="W16" s="9">
        <v>138490.38748</v>
      </c>
      <c r="X16" s="9">
        <f t="shared" si="8"/>
        <v>20804.288329999981</v>
      </c>
      <c r="Y16" s="9">
        <f t="shared" si="9"/>
        <v>15.022189415857051</v>
      </c>
      <c r="Z16" s="9"/>
      <c r="AA16" s="9">
        <v>199806.04444999999</v>
      </c>
      <c r="AB16" s="9">
        <v>158387.51535</v>
      </c>
      <c r="AC16" s="9">
        <f t="shared" si="10"/>
        <v>41418.529099999985</v>
      </c>
      <c r="AD16" s="9">
        <f t="shared" si="11"/>
        <v>26.150122380842049</v>
      </c>
      <c r="AE16" s="9"/>
      <c r="AF16" s="9">
        <v>16687.82404</v>
      </c>
      <c r="AG16" s="9">
        <v>15036.338320000001</v>
      </c>
      <c r="AH16" s="9">
        <f>AF16-AG16</f>
        <v>1651.4857199999988</v>
      </c>
      <c r="AI16" s="9">
        <f t="shared" si="13"/>
        <v>10.983297162204305</v>
      </c>
      <c r="AJ16" s="9"/>
      <c r="AK16" s="9">
        <v>26122.602140000003</v>
      </c>
      <c r="AL16" s="9">
        <v>25577.278670000003</v>
      </c>
      <c r="AM16" s="9">
        <f t="shared" si="14"/>
        <v>545.32346999999936</v>
      </c>
      <c r="AN16" s="9">
        <f t="shared" si="15"/>
        <v>2.1320621205868076</v>
      </c>
      <c r="AO16" s="9"/>
      <c r="AP16" s="9">
        <f t="shared" si="16"/>
        <v>534506.40793999995</v>
      </c>
      <c r="AQ16" s="9">
        <f t="shared" si="16"/>
        <v>458863.29399000003</v>
      </c>
      <c r="AR16" s="11">
        <f>AP16-AQ16</f>
        <v>75643.113949999912</v>
      </c>
      <c r="AS16" s="11">
        <f t="shared" si="18"/>
        <v>16.484891021082284</v>
      </c>
    </row>
    <row r="17" spans="1:45" s="12" customFormat="1" ht="15" customHeight="1" x14ac:dyDescent="0.25">
      <c r="A17" s="8" t="s">
        <v>23</v>
      </c>
      <c r="B17" s="9">
        <v>0</v>
      </c>
      <c r="C17" s="9">
        <v>0</v>
      </c>
      <c r="D17" s="9">
        <f>B17-C17</f>
        <v>0</v>
      </c>
      <c r="E17" s="9">
        <f t="shared" ref="E17:E18" si="19">IFERROR(D17/C17*100,0)</f>
        <v>0</v>
      </c>
      <c r="F17" s="9"/>
      <c r="G17" s="9">
        <v>0</v>
      </c>
      <c r="H17" s="9">
        <v>0</v>
      </c>
      <c r="I17" s="9">
        <f>G17-H17</f>
        <v>0</v>
      </c>
      <c r="J17" s="9">
        <f t="shared" ref="J17:J18" si="20">IFERROR(I17/H17*100,0)</f>
        <v>0</v>
      </c>
      <c r="K17" s="9"/>
      <c r="L17" s="9">
        <v>0</v>
      </c>
      <c r="M17" s="9">
        <v>0</v>
      </c>
      <c r="N17" s="9">
        <f t="shared" si="4"/>
        <v>0</v>
      </c>
      <c r="O17" s="9">
        <f t="shared" ref="O17:O18" si="21">IFERROR(N17/M17*100,0)</f>
        <v>0</v>
      </c>
      <c r="P17" s="9"/>
      <c r="Q17" s="9">
        <v>0</v>
      </c>
      <c r="R17" s="9">
        <v>0</v>
      </c>
      <c r="S17" s="9">
        <f>Q17-R17</f>
        <v>0</v>
      </c>
      <c r="T17" s="9">
        <f t="shared" ref="T17:T18" si="22">IFERROR(S17/R17*100,0)</f>
        <v>0</v>
      </c>
      <c r="U17" s="9"/>
      <c r="V17" s="9">
        <v>0</v>
      </c>
      <c r="W17" s="9">
        <v>0</v>
      </c>
      <c r="X17" s="9">
        <f>V17-W17</f>
        <v>0</v>
      </c>
      <c r="Y17" s="9">
        <f t="shared" ref="Y17:Y18" si="23">IFERROR(X17/W17*100,0)</f>
        <v>0</v>
      </c>
      <c r="Z17" s="9"/>
      <c r="AA17" s="9">
        <v>0</v>
      </c>
      <c r="AB17" s="9">
        <v>0</v>
      </c>
      <c r="AC17" s="9">
        <f>AA17-AB17</f>
        <v>0</v>
      </c>
      <c r="AD17" s="9"/>
      <c r="AE17" s="9"/>
      <c r="AF17" s="9">
        <v>0</v>
      </c>
      <c r="AG17" s="9">
        <v>0</v>
      </c>
      <c r="AH17" s="9">
        <f>AF17-AG17</f>
        <v>0</v>
      </c>
      <c r="AI17" s="9">
        <f t="shared" ref="AI17:AI18" si="24">IFERROR(AH17/AG17*100,0)</f>
        <v>0</v>
      </c>
      <c r="AJ17" s="9"/>
      <c r="AK17" s="9">
        <v>0</v>
      </c>
      <c r="AL17" s="9">
        <v>0</v>
      </c>
      <c r="AM17" s="9">
        <f>AK17-AL17</f>
        <v>0</v>
      </c>
      <c r="AN17" s="9">
        <f>IFERROR(AM17/AL17*100,0)</f>
        <v>0</v>
      </c>
      <c r="AO17" s="9"/>
      <c r="AP17" s="9">
        <f>B17+G17+L17+Q17+V17+AA17+AF17+AK17</f>
        <v>0</v>
      </c>
      <c r="AQ17" s="9">
        <f>C17+H17+M17+R17+W17+AB17+AG17+AL17</f>
        <v>0</v>
      </c>
      <c r="AR17" s="11">
        <f>AP17-AQ17</f>
        <v>0</v>
      </c>
      <c r="AS17" s="9">
        <f>IFERROR(AR17/AQ17*100,0)</f>
        <v>0</v>
      </c>
    </row>
    <row r="18" spans="1:45" s="12" customFormat="1" ht="15" customHeight="1" x14ac:dyDescent="0.25">
      <c r="A18" s="8" t="s">
        <v>24</v>
      </c>
      <c r="B18" s="9">
        <v>0</v>
      </c>
      <c r="C18" s="9">
        <v>0</v>
      </c>
      <c r="D18" s="9">
        <f t="shared" si="0"/>
        <v>0</v>
      </c>
      <c r="E18" s="9">
        <f t="shared" si="19"/>
        <v>0</v>
      </c>
      <c r="F18" s="9"/>
      <c r="G18" s="9">
        <v>0</v>
      </c>
      <c r="H18" s="9">
        <v>0</v>
      </c>
      <c r="I18" s="9">
        <f t="shared" si="2"/>
        <v>0</v>
      </c>
      <c r="J18" s="9">
        <f t="shared" si="20"/>
        <v>0</v>
      </c>
      <c r="K18" s="9"/>
      <c r="L18" s="9">
        <v>0</v>
      </c>
      <c r="M18" s="9">
        <v>0</v>
      </c>
      <c r="N18" s="9">
        <f t="shared" si="4"/>
        <v>0</v>
      </c>
      <c r="O18" s="9">
        <f t="shared" si="21"/>
        <v>0</v>
      </c>
      <c r="P18" s="9"/>
      <c r="Q18" s="9">
        <v>0</v>
      </c>
      <c r="R18" s="9">
        <v>0</v>
      </c>
      <c r="S18" s="9">
        <f t="shared" si="6"/>
        <v>0</v>
      </c>
      <c r="T18" s="9">
        <f t="shared" si="22"/>
        <v>0</v>
      </c>
      <c r="U18" s="9"/>
      <c r="V18" s="9">
        <v>0</v>
      </c>
      <c r="W18" s="9">
        <v>0</v>
      </c>
      <c r="X18" s="9">
        <f t="shared" si="8"/>
        <v>0</v>
      </c>
      <c r="Y18" s="9">
        <f t="shared" si="23"/>
        <v>0</v>
      </c>
      <c r="Z18" s="9"/>
      <c r="AA18" s="9">
        <v>0</v>
      </c>
      <c r="AB18" s="9">
        <v>-3896.1448100000007</v>
      </c>
      <c r="AC18" s="9">
        <f t="shared" si="10"/>
        <v>3896.1448100000007</v>
      </c>
      <c r="AD18" s="9">
        <f t="shared" si="11"/>
        <v>-100</v>
      </c>
      <c r="AE18" s="9"/>
      <c r="AF18" s="9">
        <v>0</v>
      </c>
      <c r="AG18" s="9">
        <v>0</v>
      </c>
      <c r="AH18" s="9">
        <f>AF18-AG18</f>
        <v>0</v>
      </c>
      <c r="AI18" s="9">
        <f t="shared" si="24"/>
        <v>0</v>
      </c>
      <c r="AJ18" s="9"/>
      <c r="AK18" s="9">
        <v>395.79534000000001</v>
      </c>
      <c r="AL18" s="9">
        <v>85.022329999999997</v>
      </c>
      <c r="AM18" s="9">
        <f t="shared" si="14"/>
        <v>310.77301</v>
      </c>
      <c r="AN18" s="9">
        <f t="shared" si="15"/>
        <v>365.51928181690624</v>
      </c>
      <c r="AO18" s="9"/>
      <c r="AP18" s="9">
        <f t="shared" si="16"/>
        <v>395.79534000000001</v>
      </c>
      <c r="AQ18" s="9">
        <f t="shared" si="16"/>
        <v>-3811.1224800000009</v>
      </c>
      <c r="AR18" s="11">
        <f>AP18-AQ18</f>
        <v>4206.9178200000006</v>
      </c>
      <c r="AS18" s="11">
        <f t="shared" si="18"/>
        <v>-110.38526948627481</v>
      </c>
    </row>
    <row r="19" spans="1:45" s="12" customFormat="1" ht="15" customHeight="1" x14ac:dyDescent="0.25">
      <c r="A19" s="8" t="s">
        <v>25</v>
      </c>
      <c r="B19" s="9">
        <f>B13-B14-B15-B16-B17-B18</f>
        <v>202164.08249000003</v>
      </c>
      <c r="C19" s="9">
        <f>C13-C14-C15-C16-C17-C18</f>
        <v>131874.96194000001</v>
      </c>
      <c r="D19" s="9">
        <f t="shared" si="0"/>
        <v>70289.120550000021</v>
      </c>
      <c r="E19" s="9">
        <f t="shared" si="1"/>
        <v>53.299822434815113</v>
      </c>
      <c r="F19" s="9"/>
      <c r="G19" s="9">
        <f>G13-G14-G15-G16-G17-G18</f>
        <v>32591.60382</v>
      </c>
      <c r="H19" s="9">
        <f>H13-H14-H15-H16-H17-H18</f>
        <v>30433.812109999999</v>
      </c>
      <c r="I19" s="9">
        <f t="shared" si="2"/>
        <v>2157.7917100000013</v>
      </c>
      <c r="J19" s="9">
        <f t="shared" si="3"/>
        <v>7.0901131353537874</v>
      </c>
      <c r="K19" s="9"/>
      <c r="L19" s="9">
        <f>L13-L14-L15-L16-L17-L18</f>
        <v>296837.98003999999</v>
      </c>
      <c r="M19" s="9">
        <f>M13-M14-M15-M16-M17-M18</f>
        <v>262820.53359999997</v>
      </c>
      <c r="N19" s="9">
        <f t="shared" si="4"/>
        <v>34017.446440000029</v>
      </c>
      <c r="O19" s="9">
        <f t="shared" si="5"/>
        <v>12.943222500176841</v>
      </c>
      <c r="P19" s="9"/>
      <c r="Q19" s="9">
        <f>Q13-Q14-Q15-Q16-Q17-Q18</f>
        <v>566046.71401000011</v>
      </c>
      <c r="R19" s="9">
        <f>R13-R14-R15-R16-R17-R18</f>
        <v>553159.64584999986</v>
      </c>
      <c r="S19" s="9">
        <f t="shared" si="6"/>
        <v>12887.068160000257</v>
      </c>
      <c r="T19" s="9">
        <f>S19/R19*100</f>
        <v>2.329719504429439</v>
      </c>
      <c r="U19" s="9"/>
      <c r="V19" s="9">
        <f>V13-V14-V15-V16-V17-V18</f>
        <v>1727635.9132899998</v>
      </c>
      <c r="W19" s="9">
        <f>W13-W14-W15-W16-W17-W18</f>
        <v>1507558.2948100001</v>
      </c>
      <c r="X19" s="9">
        <f t="shared" si="8"/>
        <v>220077.61847999971</v>
      </c>
      <c r="Y19" s="9">
        <f>X19/W19*100</f>
        <v>14.598282483513279</v>
      </c>
      <c r="Z19" s="9"/>
      <c r="AA19" s="9">
        <f>AA13-AA14-AA15-AA16-AA17-AA18</f>
        <v>1611131.0650300002</v>
      </c>
      <c r="AB19" s="9">
        <f>AB13-AB14-AB15-AB16-AB17-AB18</f>
        <v>1277637.6610299998</v>
      </c>
      <c r="AC19" s="9">
        <f t="shared" si="10"/>
        <v>333493.40400000033</v>
      </c>
      <c r="AD19" s="9">
        <f t="shared" si="11"/>
        <v>26.102346085442267</v>
      </c>
      <c r="AE19" s="9"/>
      <c r="AF19" s="9">
        <f>AF13-AF14-AF15-AF16-AF17-AF18</f>
        <v>130302.49418000001</v>
      </c>
      <c r="AG19" s="9">
        <f>AG13-AG14-AG15-AG16-AG17-AG18</f>
        <v>115503.21575</v>
      </c>
      <c r="AH19" s="9">
        <f t="shared" si="12"/>
        <v>14799.278430000006</v>
      </c>
      <c r="AI19" s="9">
        <f t="shared" si="13"/>
        <v>12.81287134206911</v>
      </c>
      <c r="AJ19" s="9"/>
      <c r="AK19" s="9">
        <f>AK13-AK14-AK15-AK16-AK17-AK18</f>
        <v>246671.92447</v>
      </c>
      <c r="AL19" s="9">
        <f>AL13-AL14-AL15-AL16-AL17-AL18</f>
        <v>212058.42578000002</v>
      </c>
      <c r="AM19" s="9">
        <f t="shared" si="14"/>
        <v>34613.498689999979</v>
      </c>
      <c r="AN19" s="9">
        <f t="shared" si="15"/>
        <v>16.322623617846595</v>
      </c>
      <c r="AO19" s="9"/>
      <c r="AP19" s="11">
        <f>AP13-AP14-AP15-AP16-AP17-AP18</f>
        <v>4813381.7773300009</v>
      </c>
      <c r="AQ19" s="11">
        <f>AQ13-AQ14-AQ15-AQ16-AQ17-AQ18</f>
        <v>4091046.5508699981</v>
      </c>
      <c r="AR19" s="11">
        <f t="shared" si="17"/>
        <v>722335.22646000283</v>
      </c>
      <c r="AS19" s="11">
        <f t="shared" si="18"/>
        <v>17.656490032028398</v>
      </c>
    </row>
    <row r="20" spans="1:45" s="12" customFormat="1" ht="15" customHeight="1" x14ac:dyDescent="0.25">
      <c r="A20" s="8" t="s">
        <v>26</v>
      </c>
      <c r="B20" s="9">
        <v>7480.6819500000001</v>
      </c>
      <c r="C20" s="9">
        <v>5764.0090899999996</v>
      </c>
      <c r="D20" s="9">
        <f t="shared" si="0"/>
        <v>1716.6728600000006</v>
      </c>
      <c r="E20" s="9">
        <f t="shared" si="1"/>
        <v>29.782618888965018</v>
      </c>
      <c r="F20" s="9"/>
      <c r="G20" s="9">
        <v>1541.0527899999997</v>
      </c>
      <c r="H20" s="9">
        <v>928.23711000000003</v>
      </c>
      <c r="I20" s="9">
        <f t="shared" si="2"/>
        <v>612.8156799999997</v>
      </c>
      <c r="J20" s="9">
        <f t="shared" si="3"/>
        <v>66.019304054758138</v>
      </c>
      <c r="K20" s="9"/>
      <c r="L20" s="9">
        <v>46584.82271</v>
      </c>
      <c r="M20" s="9">
        <v>32304.313130000002</v>
      </c>
      <c r="N20" s="9">
        <f>L19-M20</f>
        <v>264533.66690999997</v>
      </c>
      <c r="O20" s="9">
        <f t="shared" si="5"/>
        <v>818.88033293094793</v>
      </c>
      <c r="P20" s="9"/>
      <c r="Q20" s="9">
        <v>32085.475200000001</v>
      </c>
      <c r="R20" s="9">
        <v>30024.613710000001</v>
      </c>
      <c r="S20" s="9">
        <f t="shared" si="6"/>
        <v>2060.8614899999993</v>
      </c>
      <c r="T20" s="9">
        <f t="shared" si="7"/>
        <v>6.8639067596516945</v>
      </c>
      <c r="U20" s="9"/>
      <c r="V20" s="9">
        <v>48287.584860000003</v>
      </c>
      <c r="W20" s="9">
        <v>35939.629489999999</v>
      </c>
      <c r="X20" s="9">
        <f t="shared" si="8"/>
        <v>12347.955370000003</v>
      </c>
      <c r="Y20" s="9">
        <f t="shared" si="9"/>
        <v>34.357492120044682</v>
      </c>
      <c r="Z20" s="9"/>
      <c r="AA20" s="9">
        <v>65614.166150000005</v>
      </c>
      <c r="AB20" s="9">
        <v>52756.369210000004</v>
      </c>
      <c r="AC20" s="9">
        <f t="shared" si="10"/>
        <v>12857.79694</v>
      </c>
      <c r="AD20" s="9">
        <f t="shared" si="11"/>
        <v>24.372027742884921</v>
      </c>
      <c r="AE20" s="9"/>
      <c r="AF20" s="9">
        <v>13609.076209999999</v>
      </c>
      <c r="AG20" s="9">
        <v>14435.03283</v>
      </c>
      <c r="AH20" s="9">
        <f t="shared" si="12"/>
        <v>-825.95662000000084</v>
      </c>
      <c r="AI20" s="9">
        <f t="shared" si="13"/>
        <v>-5.7218894458170819</v>
      </c>
      <c r="AJ20" s="9"/>
      <c r="AK20" s="9">
        <v>12445.21614</v>
      </c>
      <c r="AL20" s="9">
        <v>11186.347669999999</v>
      </c>
      <c r="AM20" s="9">
        <f t="shared" si="14"/>
        <v>1258.8684700000013</v>
      </c>
      <c r="AN20" s="9">
        <f t="shared" si="15"/>
        <v>11.253614737686776</v>
      </c>
      <c r="AO20" s="9"/>
      <c r="AP20" s="9">
        <f>B20+G20+L20+Q20+V20+AA20+AF20+AK20</f>
        <v>227648.07601000002</v>
      </c>
      <c r="AQ20" s="9">
        <f>C20+H20+M20+R20+W20+AB20+AG20+AL20</f>
        <v>183338.55224000002</v>
      </c>
      <c r="AR20" s="11">
        <f t="shared" si="17"/>
        <v>44309.52377</v>
      </c>
      <c r="AS20" s="11">
        <f t="shared" si="18"/>
        <v>24.168143158453901</v>
      </c>
    </row>
    <row r="21" spans="1:45" s="12" customFormat="1" ht="15" customHeight="1" x14ac:dyDescent="0.25">
      <c r="A21" s="8" t="s">
        <v>27</v>
      </c>
      <c r="B21" s="9">
        <f>B19+B20</f>
        <v>209644.76444000003</v>
      </c>
      <c r="C21" s="9">
        <f>C19+C20</f>
        <v>137638.97103000002</v>
      </c>
      <c r="D21" s="9">
        <f t="shared" si="0"/>
        <v>72005.793410000013</v>
      </c>
      <c r="E21" s="9">
        <f t="shared" si="1"/>
        <v>52.314975091106653</v>
      </c>
      <c r="F21" s="9"/>
      <c r="G21" s="9">
        <f>G19+G20</f>
        <v>34132.656609999998</v>
      </c>
      <c r="H21" s="9">
        <f>H19+H20</f>
        <v>31362.049220000001</v>
      </c>
      <c r="I21" s="9">
        <f t="shared" si="2"/>
        <v>2770.6073899999974</v>
      </c>
      <c r="J21" s="9">
        <f t="shared" si="3"/>
        <v>8.8342677181730327</v>
      </c>
      <c r="K21" s="9"/>
      <c r="L21" s="9">
        <f>L19+L20</f>
        <v>343422.80274999997</v>
      </c>
      <c r="M21" s="9">
        <f>M19+M20</f>
        <v>295124.84672999999</v>
      </c>
      <c r="N21" s="9">
        <f>L20-M21</f>
        <v>-248540.02401999998</v>
      </c>
      <c r="O21" s="9">
        <f t="shared" si="5"/>
        <v>-84.215214941689084</v>
      </c>
      <c r="P21" s="9"/>
      <c r="Q21" s="9">
        <f>Q19+Q20</f>
        <v>598132.1892100001</v>
      </c>
      <c r="R21" s="9">
        <f>R19+R20</f>
        <v>583184.2595599998</v>
      </c>
      <c r="S21" s="9">
        <f t="shared" si="6"/>
        <v>14947.929650000297</v>
      </c>
      <c r="T21" s="9">
        <f t="shared" si="7"/>
        <v>2.5631572534687739</v>
      </c>
      <c r="U21" s="9"/>
      <c r="V21" s="9">
        <f>V19+V20</f>
        <v>1775923.4981499999</v>
      </c>
      <c r="W21" s="9">
        <f>W19+W20</f>
        <v>1543497.9243000001</v>
      </c>
      <c r="X21" s="9">
        <f t="shared" si="8"/>
        <v>232425.57384999981</v>
      </c>
      <c r="Y21" s="9">
        <f t="shared" si="9"/>
        <v>15.058366466894238</v>
      </c>
      <c r="Z21" s="9"/>
      <c r="AA21" s="9">
        <f>AA19+AA20</f>
        <v>1676745.2311800001</v>
      </c>
      <c r="AB21" s="9">
        <f>AB19+AB20</f>
        <v>1330394.0302399998</v>
      </c>
      <c r="AC21" s="9">
        <f t="shared" si="10"/>
        <v>346351.20094000036</v>
      </c>
      <c r="AD21" s="9">
        <f t="shared" si="11"/>
        <v>26.033730839691117</v>
      </c>
      <c r="AE21" s="9"/>
      <c r="AF21" s="9">
        <f>AF19+AF20</f>
        <v>143911.57039000001</v>
      </c>
      <c r="AG21" s="9">
        <f>AG19+AG20</f>
        <v>129938.24858</v>
      </c>
      <c r="AH21" s="9">
        <f t="shared" si="12"/>
        <v>13973.321810000009</v>
      </c>
      <c r="AI21" s="9">
        <f t="shared" si="13"/>
        <v>10.753817265281175</v>
      </c>
      <c r="AJ21" s="9"/>
      <c r="AK21" s="9">
        <f>AK19+AK20</f>
        <v>259117.14061</v>
      </c>
      <c r="AL21" s="9">
        <f>AL19+AL20</f>
        <v>223244.77345000001</v>
      </c>
      <c r="AM21" s="9">
        <f t="shared" si="14"/>
        <v>35872.367159999994</v>
      </c>
      <c r="AN21" s="9">
        <f t="shared" si="15"/>
        <v>16.068625753531606</v>
      </c>
      <c r="AO21" s="9"/>
      <c r="AP21" s="11">
        <f>AP19+AP20</f>
        <v>5041029.8533400008</v>
      </c>
      <c r="AQ21" s="11">
        <f>AQ19+AQ20</f>
        <v>4274385.1031099977</v>
      </c>
      <c r="AR21" s="11">
        <f t="shared" si="17"/>
        <v>766644.75023000315</v>
      </c>
      <c r="AS21" s="11">
        <f t="shared" si="18"/>
        <v>17.935790335601734</v>
      </c>
    </row>
    <row r="22" spans="1:45" s="12" customFormat="1" ht="15" customHeight="1" x14ac:dyDescent="0.25">
      <c r="A22" s="8" t="s">
        <v>28</v>
      </c>
      <c r="B22" s="9">
        <v>172592.19759999998</v>
      </c>
      <c r="C22" s="9">
        <v>102074.07278</v>
      </c>
      <c r="D22" s="9">
        <f t="shared" si="0"/>
        <v>70518.124819999983</v>
      </c>
      <c r="E22" s="9">
        <f t="shared" si="1"/>
        <v>69.085246526791906</v>
      </c>
      <c r="F22" s="9"/>
      <c r="G22" s="9">
        <v>21692.71212</v>
      </c>
      <c r="H22" s="9">
        <v>19752.61722</v>
      </c>
      <c r="I22" s="9">
        <f t="shared" si="2"/>
        <v>1940.0949000000001</v>
      </c>
      <c r="J22" s="9">
        <f t="shared" si="3"/>
        <v>9.8219637346873068</v>
      </c>
      <c r="K22" s="9"/>
      <c r="L22" s="9">
        <v>254031.87683000002</v>
      </c>
      <c r="M22" s="9">
        <v>219416.17954999997</v>
      </c>
      <c r="N22" s="9">
        <f>L21-M22</f>
        <v>124006.6232</v>
      </c>
      <c r="O22" s="9">
        <f t="shared" si="5"/>
        <v>56.516626738431427</v>
      </c>
      <c r="P22" s="9"/>
      <c r="Q22" s="9">
        <v>483132.26242000004</v>
      </c>
      <c r="R22" s="9">
        <v>463957.54957999999</v>
      </c>
      <c r="S22" s="9">
        <f t="shared" si="6"/>
        <v>19174.712840000051</v>
      </c>
      <c r="T22" s="9">
        <f t="shared" si="7"/>
        <v>4.1328593224440606</v>
      </c>
      <c r="U22" s="9"/>
      <c r="V22" s="9">
        <v>1605347.3368800001</v>
      </c>
      <c r="W22" s="9">
        <v>1383382.3924799999</v>
      </c>
      <c r="X22" s="9">
        <f t="shared" si="8"/>
        <v>221964.94440000015</v>
      </c>
      <c r="Y22" s="9">
        <f t="shared" si="9"/>
        <v>16.04508960115373</v>
      </c>
      <c r="Z22" s="9"/>
      <c r="AA22" s="9">
        <v>1461745.7252100001</v>
      </c>
      <c r="AB22" s="9">
        <v>1164585.5543600002</v>
      </c>
      <c r="AC22" s="9">
        <f t="shared" si="10"/>
        <v>297160.17084999988</v>
      </c>
      <c r="AD22" s="9">
        <f t="shared" si="11"/>
        <v>25.516388189556814</v>
      </c>
      <c r="AE22" s="9"/>
      <c r="AF22" s="9">
        <v>105100.83614999999</v>
      </c>
      <c r="AG22" s="9">
        <v>92223.76158000002</v>
      </c>
      <c r="AH22" s="9">
        <f t="shared" si="12"/>
        <v>12877.074569999968</v>
      </c>
      <c r="AI22" s="9">
        <f t="shared" si="13"/>
        <v>13.962859841527584</v>
      </c>
      <c r="AJ22" s="9"/>
      <c r="AK22" s="9">
        <v>208661.2758</v>
      </c>
      <c r="AL22" s="9">
        <v>175623.88274</v>
      </c>
      <c r="AM22" s="9">
        <f t="shared" si="14"/>
        <v>33037.393060000002</v>
      </c>
      <c r="AN22" s="9">
        <f t="shared" si="15"/>
        <v>18.811446680580318</v>
      </c>
      <c r="AO22" s="9"/>
      <c r="AP22" s="9">
        <f>B22+G22+L22+Q22+V22+AA22+AF22+AK22</f>
        <v>4312304.2230099998</v>
      </c>
      <c r="AQ22" s="9">
        <f>C22+H22+M22+R22+W22+AB22+AG22+AL22</f>
        <v>3621016.0102899997</v>
      </c>
      <c r="AR22" s="11">
        <f t="shared" si="17"/>
        <v>691288.21272000019</v>
      </c>
      <c r="AS22" s="11">
        <f t="shared" si="18"/>
        <v>19.091001275761727</v>
      </c>
    </row>
    <row r="23" spans="1:45" s="12" customFormat="1" ht="15" customHeight="1" x14ac:dyDescent="0.25">
      <c r="A23" s="8" t="s">
        <v>29</v>
      </c>
      <c r="B23" s="9">
        <f>ROUND((B22/B21*100),0)</f>
        <v>82</v>
      </c>
      <c r="C23" s="9">
        <f>ROUND((C22/C21*100),0)</f>
        <v>74</v>
      </c>
      <c r="D23" s="9"/>
      <c r="E23" s="9">
        <f>B23-C23</f>
        <v>8</v>
      </c>
      <c r="F23" s="9"/>
      <c r="G23" s="9">
        <f>ROUND((G22/G21*100),0)</f>
        <v>64</v>
      </c>
      <c r="H23" s="9">
        <f>ROUND((H22/H21*100),0)</f>
        <v>63</v>
      </c>
      <c r="I23" s="9"/>
      <c r="J23" s="9">
        <f>G23-H23</f>
        <v>1</v>
      </c>
      <c r="K23" s="9"/>
      <c r="L23" s="9">
        <f>ROUND((L22/L21*100),0)</f>
        <v>74</v>
      </c>
      <c r="M23" s="9">
        <f>ROUND((M22/M21*100),0)</f>
        <v>74</v>
      </c>
      <c r="N23" s="9"/>
      <c r="O23" s="9">
        <f>L23-M23</f>
        <v>0</v>
      </c>
      <c r="P23" s="9"/>
      <c r="Q23" s="9">
        <f>ROUND((Q22/Q21*100),0)</f>
        <v>81</v>
      </c>
      <c r="R23" s="9">
        <f>ROUND((R22/R21*100),0)</f>
        <v>80</v>
      </c>
      <c r="S23" s="9"/>
      <c r="T23" s="9">
        <f>Q23-R23</f>
        <v>1</v>
      </c>
      <c r="U23" s="9"/>
      <c r="V23" s="9">
        <f>ROUND((V22/V21*100),0)</f>
        <v>90</v>
      </c>
      <c r="W23" s="9">
        <f>ROUND((W22/W21*100),0)</f>
        <v>90</v>
      </c>
      <c r="X23" s="9"/>
      <c r="Y23" s="9">
        <f>V23-W23</f>
        <v>0</v>
      </c>
      <c r="Z23" s="9"/>
      <c r="AA23" s="9">
        <f>ROUND((AA22/AA21*100),0)</f>
        <v>87</v>
      </c>
      <c r="AB23" s="9">
        <f>ROUND((AB22/AB21*100),0)</f>
        <v>88</v>
      </c>
      <c r="AC23" s="9"/>
      <c r="AD23" s="9">
        <f>AA23-AB23</f>
        <v>-1</v>
      </c>
      <c r="AE23" s="9"/>
      <c r="AF23" s="9">
        <f>ROUND((AF22/AF21*100),0)</f>
        <v>73</v>
      </c>
      <c r="AG23" s="9">
        <f>ROUND((AG22/AG21*100),0)</f>
        <v>71</v>
      </c>
      <c r="AH23" s="9"/>
      <c r="AI23" s="9">
        <f>AF23-AG23</f>
        <v>2</v>
      </c>
      <c r="AJ23" s="9"/>
      <c r="AK23" s="9">
        <f>ROUND((AK22/AK21*100),0)</f>
        <v>81</v>
      </c>
      <c r="AL23" s="9">
        <f>ROUND((AL22/AL21*100),0)</f>
        <v>79</v>
      </c>
      <c r="AM23" s="9"/>
      <c r="AN23" s="9">
        <f>AK23-AL23</f>
        <v>2</v>
      </c>
      <c r="AO23" s="9"/>
      <c r="AP23" s="9">
        <f>ROUND((AP22/AP21*100),0)</f>
        <v>86</v>
      </c>
      <c r="AQ23" s="9">
        <f>ROUND((AQ22/AQ21*100),0)</f>
        <v>85</v>
      </c>
      <c r="AR23" s="9"/>
      <c r="AS23" s="9">
        <f>AP23-AQ23</f>
        <v>1</v>
      </c>
    </row>
    <row r="24" spans="1:45" s="12" customFormat="1" ht="15" customHeight="1" x14ac:dyDescent="0.25">
      <c r="A24" s="8" t="s">
        <v>30</v>
      </c>
      <c r="B24" s="9">
        <v>29324.83196</v>
      </c>
      <c r="C24" s="9">
        <v>34158.85843</v>
      </c>
      <c r="D24" s="9">
        <f>B24-C24</f>
        <v>-4834.0264700000007</v>
      </c>
      <c r="E24" s="9">
        <f>D24/C24*100</f>
        <v>-14.151604275377421</v>
      </c>
      <c r="F24" s="9"/>
      <c r="G24" s="9">
        <v>9595.9475500000008</v>
      </c>
      <c r="H24" s="9">
        <v>8509.309870000001</v>
      </c>
      <c r="I24" s="9">
        <f>G24-H24</f>
        <v>1086.6376799999998</v>
      </c>
      <c r="J24" s="9">
        <f>I24/H24*100</f>
        <v>12.769986010628143</v>
      </c>
      <c r="K24" s="9"/>
      <c r="L24" s="9">
        <v>61678.232090000005</v>
      </c>
      <c r="M24" s="9">
        <v>57764.639640000001</v>
      </c>
      <c r="N24" s="9">
        <f>L23-M24</f>
        <v>-57690.639640000001</v>
      </c>
      <c r="O24" s="9">
        <f>N24/M24*100</f>
        <v>-99.871893946779238</v>
      </c>
      <c r="P24" s="9"/>
      <c r="Q24" s="9">
        <v>90310.534500000009</v>
      </c>
      <c r="R24" s="9">
        <v>81520.719639999996</v>
      </c>
      <c r="S24" s="9">
        <f>Q24-R24</f>
        <v>8789.8148600000131</v>
      </c>
      <c r="T24" s="9">
        <f>S24/R24*100</f>
        <v>10.782307735771129</v>
      </c>
      <c r="U24" s="9"/>
      <c r="V24" s="9">
        <v>191132.67496999999</v>
      </c>
      <c r="W24" s="9">
        <v>119106.19253999999</v>
      </c>
      <c r="X24" s="9">
        <f>V24-W24</f>
        <v>72026.482430000004</v>
      </c>
      <c r="Y24" s="9">
        <f>X24/W24*100</f>
        <v>60.472491726919252</v>
      </c>
      <c r="Z24" s="9"/>
      <c r="AA24" s="9">
        <v>202727.32949000003</v>
      </c>
      <c r="AB24" s="9">
        <v>152051.17936000001</v>
      </c>
      <c r="AC24" s="9">
        <f>AA24-AB24</f>
        <v>50676.150130000024</v>
      </c>
      <c r="AD24" s="9">
        <f>AC24/AB24*100</f>
        <v>33.328350587809616</v>
      </c>
      <c r="AE24" s="9"/>
      <c r="AF24" s="9">
        <v>26977.201499999999</v>
      </c>
      <c r="AG24" s="9">
        <v>26043.235980000001</v>
      </c>
      <c r="AH24" s="9">
        <f>AF24-AG24</f>
        <v>933.96551999999792</v>
      </c>
      <c r="AI24" s="9">
        <f>AH24/AG24*100</f>
        <v>3.5862114858431577</v>
      </c>
      <c r="AJ24" s="9"/>
      <c r="AK24" s="9">
        <v>43170.764429999996</v>
      </c>
      <c r="AL24" s="9">
        <v>39003.201059999999</v>
      </c>
      <c r="AM24" s="9">
        <f>AK24-AL24</f>
        <v>4167.5633699999962</v>
      </c>
      <c r="AN24" s="9">
        <f>AM24/AL24*100</f>
        <v>10.68518289970325</v>
      </c>
      <c r="AO24" s="9"/>
      <c r="AP24" s="11">
        <f>+B24+G24+L24+Q24+V24+AA24+AF24+AK24</f>
        <v>654917.51648999995</v>
      </c>
      <c r="AQ24" s="11">
        <f>+C24+H24+M24+R24+W24+AB24+AG24+AL24</f>
        <v>518157.33651999995</v>
      </c>
      <c r="AR24" s="11">
        <f>AP24-AQ24</f>
        <v>136760.17997</v>
      </c>
      <c r="AS24" s="11">
        <f>AR24/AQ24*100</f>
        <v>26.39356240490504</v>
      </c>
    </row>
    <row r="25" spans="1:45" s="12" customFormat="1" ht="15" customHeight="1" x14ac:dyDescent="0.25">
      <c r="A25" s="8" t="s">
        <v>29</v>
      </c>
      <c r="B25" s="9">
        <f>ROUND((B24/B21*100),0)</f>
        <v>14</v>
      </c>
      <c r="C25" s="9">
        <f>ROUND((C24/C21*100),0)</f>
        <v>25</v>
      </c>
      <c r="D25" s="9"/>
      <c r="E25" s="9">
        <f>B25-C25</f>
        <v>-11</v>
      </c>
      <c r="F25" s="9"/>
      <c r="G25" s="9">
        <f>ROUND((G24/G21*100),0)</f>
        <v>28</v>
      </c>
      <c r="H25" s="9">
        <f>ROUND((H24/H21*100),0)</f>
        <v>27</v>
      </c>
      <c r="I25" s="9"/>
      <c r="J25" s="9">
        <f>G25-H25</f>
        <v>1</v>
      </c>
      <c r="K25" s="9"/>
      <c r="L25" s="9">
        <f>ROUND((L24/L21*100),0)</f>
        <v>18</v>
      </c>
      <c r="M25" s="9">
        <f>ROUND((M24/M21*100),0)</f>
        <v>20</v>
      </c>
      <c r="N25" s="9"/>
      <c r="O25" s="9">
        <f>L25-M25</f>
        <v>-2</v>
      </c>
      <c r="P25" s="9"/>
      <c r="Q25" s="9">
        <f>ROUND((Q24/Q21*100),0)</f>
        <v>15</v>
      </c>
      <c r="R25" s="9">
        <f>ROUND((R24/R21*100),0)</f>
        <v>14</v>
      </c>
      <c r="S25" s="9"/>
      <c r="T25" s="9">
        <f>Q25-R25</f>
        <v>1</v>
      </c>
      <c r="U25" s="9"/>
      <c r="V25" s="9">
        <f>ROUND((V24/V21*100),0)</f>
        <v>11</v>
      </c>
      <c r="W25" s="9">
        <f>ROUND((W24/W21*100),0)</f>
        <v>8</v>
      </c>
      <c r="X25" s="9"/>
      <c r="Y25" s="9">
        <f>V25-W25</f>
        <v>3</v>
      </c>
      <c r="Z25" s="9"/>
      <c r="AA25" s="9">
        <f>ROUND((AA24/AA21*100),0)</f>
        <v>12</v>
      </c>
      <c r="AB25" s="9">
        <f>ROUND((AB24/AB21*100),0)</f>
        <v>11</v>
      </c>
      <c r="AC25" s="9"/>
      <c r="AD25" s="9">
        <f>AA25-AB25</f>
        <v>1</v>
      </c>
      <c r="AE25" s="9"/>
      <c r="AF25" s="9">
        <f>ROUND((AF24/AF21*100),0)</f>
        <v>19</v>
      </c>
      <c r="AG25" s="9">
        <f>ROUND((AG24/AG21*100),0)</f>
        <v>20</v>
      </c>
      <c r="AH25" s="9"/>
      <c r="AI25" s="9">
        <f>AF25-AG25</f>
        <v>-1</v>
      </c>
      <c r="AJ25" s="9"/>
      <c r="AK25" s="9">
        <f>ROUND((AK24/AK21*100),0)</f>
        <v>17</v>
      </c>
      <c r="AL25" s="9">
        <v>19</v>
      </c>
      <c r="AM25" s="9"/>
      <c r="AN25" s="9">
        <f>AK25-AL25</f>
        <v>-2</v>
      </c>
      <c r="AO25" s="9"/>
      <c r="AP25" s="9">
        <f>ROUND((AP24/AP21*100),0)</f>
        <v>13</v>
      </c>
      <c r="AQ25" s="9">
        <f>ROUND((AQ24/AQ21*100),0)</f>
        <v>12</v>
      </c>
      <c r="AR25" s="9"/>
      <c r="AS25" s="9">
        <f>AP25-AQ25</f>
        <v>1</v>
      </c>
    </row>
    <row r="26" spans="1:45" s="12" customFormat="1" ht="15" customHeight="1" x14ac:dyDescent="0.25">
      <c r="A26" s="8" t="s">
        <v>31</v>
      </c>
      <c r="B26" s="9">
        <f>+B21-B22-B24</f>
        <v>7727.7348800000436</v>
      </c>
      <c r="C26" s="9">
        <f>+C21-C22-C24</f>
        <v>1406.0398200000127</v>
      </c>
      <c r="D26" s="9">
        <f>B26-C26</f>
        <v>6321.6950600000309</v>
      </c>
      <c r="E26" s="9">
        <f>D26/C26*100</f>
        <v>449.60995912619131</v>
      </c>
      <c r="F26" s="9"/>
      <c r="G26" s="9">
        <f>+G21-G22-G24</f>
        <v>2843.9969399999973</v>
      </c>
      <c r="H26" s="9">
        <f>+H21-H22-H24</f>
        <v>3100.1221299999997</v>
      </c>
      <c r="I26" s="9">
        <f>G26-H26</f>
        <v>-256.12519000000248</v>
      </c>
      <c r="J26" s="9">
        <f>I26/H26*100</f>
        <v>-8.2617774158465984</v>
      </c>
      <c r="K26" s="9"/>
      <c r="L26" s="9">
        <f>+L21-L22-L24</f>
        <v>27712.693829999946</v>
      </c>
      <c r="M26" s="9">
        <f>+M21-M22-M24</f>
        <v>17944.027540000017</v>
      </c>
      <c r="N26" s="9">
        <f>L25-M26</f>
        <v>-17926.027540000017</v>
      </c>
      <c r="O26" s="9">
        <f>N26/M26*100</f>
        <v>-99.899688071923237</v>
      </c>
      <c r="P26" s="9"/>
      <c r="Q26" s="9">
        <f>+Q21-Q22-Q24</f>
        <v>24689.392290000047</v>
      </c>
      <c r="R26" s="9">
        <f>+R21-R22-R24</f>
        <v>37705.990339999815</v>
      </c>
      <c r="S26" s="9">
        <f>Q26-R26</f>
        <v>-13016.598049999768</v>
      </c>
      <c r="T26" s="9">
        <f>S26/R26*100</f>
        <v>-34.52130001792132</v>
      </c>
      <c r="U26" s="9"/>
      <c r="V26" s="9">
        <f>+V21-V22-V24</f>
        <v>-20556.513700000185</v>
      </c>
      <c r="W26" s="9">
        <f>+W21-W22-W24</f>
        <v>41009.33928000016</v>
      </c>
      <c r="X26" s="9">
        <f>V26-W26</f>
        <v>-61565.852980000345</v>
      </c>
      <c r="Y26" s="9">
        <f>X26/W26*100</f>
        <v>-150.12642012992728</v>
      </c>
      <c r="Z26" s="9"/>
      <c r="AA26" s="9">
        <f>+AA21-AA22-AA24</f>
        <v>12272.176480000024</v>
      </c>
      <c r="AB26" s="9">
        <f>+AB21-AB22-AB24</f>
        <v>13757.296519999567</v>
      </c>
      <c r="AC26" s="9">
        <f>AA26-AB26</f>
        <v>-1485.1200399995432</v>
      </c>
      <c r="AD26" s="9">
        <f>AC26/AB26*100</f>
        <v>-10.795144509973751</v>
      </c>
      <c r="AE26" s="9"/>
      <c r="AF26" s="9">
        <f>+AF21-AF22-AF24</f>
        <v>11833.532740000021</v>
      </c>
      <c r="AG26" s="9">
        <f>+AG21-AG22-AG24</f>
        <v>11671.251019999978</v>
      </c>
      <c r="AH26" s="9">
        <f>AF26-AG26</f>
        <v>162.2817200000427</v>
      </c>
      <c r="AI26" s="9">
        <f>AH26/AG26*100</f>
        <v>1.3904398056554095</v>
      </c>
      <c r="AJ26" s="9"/>
      <c r="AK26" s="9">
        <f>+AK21-AK22-AK24</f>
        <v>7285.1003800000035</v>
      </c>
      <c r="AL26" s="9">
        <f>+AL21-AL22-AL24</f>
        <v>8617.6896500000075</v>
      </c>
      <c r="AM26" s="9">
        <f>AK26-AL26</f>
        <v>-1332.589270000004</v>
      </c>
      <c r="AN26" s="9">
        <f>AM26/AL26*100</f>
        <v>-15.463416810328079</v>
      </c>
      <c r="AO26" s="9"/>
      <c r="AP26" s="11">
        <f>AP21-AP22-AP24</f>
        <v>73808.113840001053</v>
      </c>
      <c r="AQ26" s="11">
        <f>AQ21-AQ22-AQ24</f>
        <v>135211.75629999809</v>
      </c>
      <c r="AR26" s="11">
        <f>AP26-AQ26</f>
        <v>-61403.642459997034</v>
      </c>
      <c r="AS26" s="11">
        <f>AR26/AQ26*100</f>
        <v>-45.412946433266541</v>
      </c>
    </row>
    <row r="27" spans="1:45" s="12" customFormat="1" ht="15" customHeight="1" x14ac:dyDescent="0.25">
      <c r="A27" s="8" t="s">
        <v>32</v>
      </c>
      <c r="B27" s="9">
        <v>6317.6419299999998</v>
      </c>
      <c r="C27" s="9">
        <v>6669.3443900000011</v>
      </c>
      <c r="D27" s="9">
        <f>B27-C27</f>
        <v>-351.70246000000134</v>
      </c>
      <c r="E27" s="9">
        <f>D27/C27*100</f>
        <v>-5.2734187865203532</v>
      </c>
      <c r="F27" s="9"/>
      <c r="G27" s="9">
        <v>614.71618000000001</v>
      </c>
      <c r="H27" s="9">
        <v>614.71235999999999</v>
      </c>
      <c r="I27" s="9">
        <f>G27-H27</f>
        <v>3.8200000000188084E-3</v>
      </c>
      <c r="J27" s="9">
        <f>I27/H27*100</f>
        <v>6.2142885820919689E-4</v>
      </c>
      <c r="K27" s="9"/>
      <c r="L27" s="9">
        <v>14641.289150000001</v>
      </c>
      <c r="M27" s="9">
        <v>12954.412130000001</v>
      </c>
      <c r="N27" s="9">
        <f>L26-M27</f>
        <v>14758.281699999945</v>
      </c>
      <c r="O27" s="9">
        <f>N27/M27*100</f>
        <v>113.92475051664073</v>
      </c>
      <c r="P27" s="9"/>
      <c r="Q27" s="9">
        <v>31406.280559999999</v>
      </c>
      <c r="R27" s="9">
        <v>31125.38924</v>
      </c>
      <c r="S27" s="9">
        <f>Q27-R27</f>
        <v>280.89131999999881</v>
      </c>
      <c r="T27" s="9">
        <f>S27/R27*100</f>
        <v>0.90245078650781485</v>
      </c>
      <c r="U27" s="9"/>
      <c r="V27" s="9">
        <v>53927.768539999997</v>
      </c>
      <c r="W27" s="9">
        <v>42203.113319999997</v>
      </c>
      <c r="X27" s="9">
        <f>V27-W27</f>
        <v>11724.655220000001</v>
      </c>
      <c r="Y27" s="9">
        <f>X27/W27*100</f>
        <v>27.781493585791221</v>
      </c>
      <c r="Z27" s="9"/>
      <c r="AA27" s="9">
        <v>8339.1495800000012</v>
      </c>
      <c r="AB27" s="9">
        <v>8729.2506299999986</v>
      </c>
      <c r="AC27" s="9">
        <f>AA27-AB27</f>
        <v>-390.10104999999749</v>
      </c>
      <c r="AD27" s="9">
        <f>AC27/AB27*100</f>
        <v>-4.4688950579483766</v>
      </c>
      <c r="AE27" s="9"/>
      <c r="AF27" s="9">
        <v>8097.1187900000004</v>
      </c>
      <c r="AG27" s="9">
        <v>7106.4322000000002</v>
      </c>
      <c r="AH27" s="9">
        <f>AF27-AG27</f>
        <v>990.68659000000025</v>
      </c>
      <c r="AI27" s="9">
        <f>AH27/AG27*100</f>
        <v>13.940702762210272</v>
      </c>
      <c r="AJ27" s="9"/>
      <c r="AK27" s="9">
        <v>10191.649259999998</v>
      </c>
      <c r="AL27" s="9">
        <v>9528.7657500000005</v>
      </c>
      <c r="AM27" s="9">
        <f>AK27-AL27</f>
        <v>662.88350999999784</v>
      </c>
      <c r="AN27" s="9">
        <f>AM27/AL27*100</f>
        <v>6.9566565848257707</v>
      </c>
      <c r="AO27" s="9"/>
      <c r="AP27" s="9">
        <f>B27+G27+L27+Q27+V27+AA27+AF27+AK27</f>
        <v>133535.61399000001</v>
      </c>
      <c r="AQ27" s="9">
        <f>C27+H27+M27+R27+W27+AB27+AG27+AL27</f>
        <v>118931.42001999999</v>
      </c>
      <c r="AR27" s="11">
        <f>AP27-AQ27</f>
        <v>14604.193970000022</v>
      </c>
      <c r="AS27" s="11">
        <f>AR27/AQ27*100</f>
        <v>12.279508617272141</v>
      </c>
    </row>
    <row r="28" spans="1:45" s="12" customFormat="1" ht="15" customHeight="1" x14ac:dyDescent="0.25">
      <c r="A28" s="8" t="s">
        <v>33</v>
      </c>
      <c r="B28" s="9">
        <v>896.46697999999992</v>
      </c>
      <c r="C28" s="9">
        <v>749.15608000000009</v>
      </c>
      <c r="D28" s="9">
        <f>B28-C28</f>
        <v>147.31089999999983</v>
      </c>
      <c r="E28" s="9">
        <f>D28/C28*100</f>
        <v>19.663579317143075</v>
      </c>
      <c r="F28" s="9"/>
      <c r="G28" s="9">
        <v>323.60998999999998</v>
      </c>
      <c r="H28" s="9">
        <v>361.55466000000001</v>
      </c>
      <c r="I28" s="9">
        <f>G28-H28</f>
        <v>-37.944670000000031</v>
      </c>
      <c r="J28" s="9">
        <f>I28/H28*100</f>
        <v>-10.494864040751136</v>
      </c>
      <c r="K28" s="9"/>
      <c r="L28" s="9">
        <v>3627.7104199999999</v>
      </c>
      <c r="M28" s="9">
        <v>3667.6990000000001</v>
      </c>
      <c r="N28" s="9">
        <f>L27-M28</f>
        <v>10973.59015</v>
      </c>
      <c r="O28" s="9">
        <f>N28/M28*100</f>
        <v>299.1954942322148</v>
      </c>
      <c r="P28" s="9"/>
      <c r="Q28" s="9">
        <v>5063.8430000000008</v>
      </c>
      <c r="R28" s="9">
        <v>4025.971</v>
      </c>
      <c r="S28" s="9">
        <f>Q28-R28</f>
        <v>1037.8720000000008</v>
      </c>
      <c r="T28" s="9">
        <f>S28/R28*100</f>
        <v>25.779420666467811</v>
      </c>
      <c r="U28" s="9"/>
      <c r="V28" s="9">
        <v>7695.5150000000003</v>
      </c>
      <c r="W28" s="9">
        <v>6701.2327700000005</v>
      </c>
      <c r="X28" s="9">
        <f>V28-W28</f>
        <v>994.2822299999998</v>
      </c>
      <c r="Y28" s="9">
        <f>X28/W28*100</f>
        <v>14.837303286213107</v>
      </c>
      <c r="Z28" s="9"/>
      <c r="AA28" s="9">
        <v>0</v>
      </c>
      <c r="AB28" s="9">
        <v>0</v>
      </c>
      <c r="AC28" s="9">
        <f>AA28-AB28</f>
        <v>0</v>
      </c>
      <c r="AD28" s="9"/>
      <c r="AE28" s="9"/>
      <c r="AF28" s="9">
        <v>1989.17526</v>
      </c>
      <c r="AG28" s="9">
        <v>2114.4940000000001</v>
      </c>
      <c r="AH28" s="9">
        <f>AF28-AG28</f>
        <v>-125.31874000000016</v>
      </c>
      <c r="AI28" s="9">
        <f>AH28/AG28*100</f>
        <v>-5.9266538472088435</v>
      </c>
      <c r="AJ28" s="9"/>
      <c r="AK28" s="9">
        <v>1426.7340100000001</v>
      </c>
      <c r="AL28" s="9">
        <v>1433.06702</v>
      </c>
      <c r="AM28" s="9">
        <f>AK28-AL28</f>
        <v>-6.3330099999998311</v>
      </c>
      <c r="AN28" s="9">
        <f>AM28/AL28*100</f>
        <v>-0.44192001571565237</v>
      </c>
      <c r="AO28" s="9"/>
      <c r="AP28" s="9">
        <f>B28+G28+L28+Q28+V28+AA28+AF28+AK28</f>
        <v>21023.054660000002</v>
      </c>
      <c r="AQ28" s="9">
        <f>C28+H28+M28+R28+W28+AB28+AG28+AL28</f>
        <v>19053.17453</v>
      </c>
      <c r="AR28" s="11">
        <f>AP28-AQ28</f>
        <v>1969.8801300000014</v>
      </c>
      <c r="AS28" s="11">
        <f>AR28/AQ28*100</f>
        <v>10.338855222778466</v>
      </c>
    </row>
    <row r="29" spans="1:45" s="12" customFormat="1" ht="15" customHeight="1" x14ac:dyDescent="0.25">
      <c r="A29" s="8" t="s">
        <v>34</v>
      </c>
      <c r="B29" s="9">
        <f>+B26-B27-B28</f>
        <v>513.62597000004394</v>
      </c>
      <c r="C29" s="9">
        <f>+C26-C27-C28</f>
        <v>-6012.4606499999882</v>
      </c>
      <c r="D29" s="9">
        <f>B29-C29</f>
        <v>6526.0866200000319</v>
      </c>
      <c r="E29" s="9">
        <f>D29/C29*100</f>
        <v>-108.54269158501762</v>
      </c>
      <c r="F29" s="9"/>
      <c r="G29" s="9">
        <f>+G26-G27-G28</f>
        <v>1905.6707699999974</v>
      </c>
      <c r="H29" s="9">
        <f>+H26-H27-H28</f>
        <v>2123.8551099999995</v>
      </c>
      <c r="I29" s="9">
        <f>G29-H29</f>
        <v>-218.18434000000207</v>
      </c>
      <c r="J29" s="9">
        <f>I29/H29*100</f>
        <v>-10.273033173152859</v>
      </c>
      <c r="K29" s="9"/>
      <c r="L29" s="9">
        <f>+L26-L27-L28</f>
        <v>9443.6942599999456</v>
      </c>
      <c r="M29" s="9">
        <f>+M26-M27-M28</f>
        <v>1321.9164100000166</v>
      </c>
      <c r="N29" s="9">
        <f>L28-M29</f>
        <v>2305.7940099999832</v>
      </c>
      <c r="O29" s="9">
        <f>N29/M29*100</f>
        <v>174.42812514899896</v>
      </c>
      <c r="P29" s="9"/>
      <c r="Q29" s="9">
        <f>+Q26-Q27-Q28</f>
        <v>-11780.731269999953</v>
      </c>
      <c r="R29" s="9">
        <f>+R26-R27-R28</f>
        <v>2554.6300999998143</v>
      </c>
      <c r="S29" s="9">
        <f>Q29-R29</f>
        <v>-14335.361369999768</v>
      </c>
      <c r="T29" s="9">
        <f>S29/R29*100</f>
        <v>-561.15213588068229</v>
      </c>
      <c r="U29" s="9"/>
      <c r="V29" s="9">
        <f>+V26-V27-V28</f>
        <v>-82179.797240000174</v>
      </c>
      <c r="W29" s="9">
        <f>+W26-W27-W28</f>
        <v>-7895.0068099998371</v>
      </c>
      <c r="X29" s="9">
        <f>V29-W29</f>
        <v>-74284.790430000343</v>
      </c>
      <c r="Y29" s="9">
        <f>X29/W29*100</f>
        <v>940.90850353556414</v>
      </c>
      <c r="Z29" s="9"/>
      <c r="AA29" s="9">
        <f>+AA26-AA27-AA28</f>
        <v>3933.0269000000226</v>
      </c>
      <c r="AB29" s="9">
        <f>+AB26-AB27-AB28</f>
        <v>5028.0458899995683</v>
      </c>
      <c r="AC29" s="9">
        <f>AA29-AB29</f>
        <v>-1095.0189899995457</v>
      </c>
      <c r="AD29" s="9">
        <f>AC29/AB29*100</f>
        <v>-21.778221876961425</v>
      </c>
      <c r="AE29" s="9"/>
      <c r="AF29" s="9">
        <f>+AF26-AF27-AF28</f>
        <v>1747.2386900000201</v>
      </c>
      <c r="AG29" s="9">
        <f>+AG26-AG27-AG28</f>
        <v>2450.3248199999775</v>
      </c>
      <c r="AH29" s="9">
        <f>AF29-AG29</f>
        <v>-703.08612999995739</v>
      </c>
      <c r="AI29" s="9">
        <f>AH29/AG29*100</f>
        <v>-28.693588876921382</v>
      </c>
      <c r="AJ29" s="9"/>
      <c r="AK29" s="9">
        <f>+AK26-AK27-AK28</f>
        <v>-4333.2828899999949</v>
      </c>
      <c r="AL29" s="9">
        <f>+AL26-AL27-AL28</f>
        <v>-2344.1431199999929</v>
      </c>
      <c r="AM29" s="9">
        <f>AK29-AL29</f>
        <v>-1989.139770000002</v>
      </c>
      <c r="AN29" s="9">
        <f>AM29/AL29*100</f>
        <v>84.855730566485548</v>
      </c>
      <c r="AO29" s="9"/>
      <c r="AP29" s="11">
        <f>AP26-AP27-AP28</f>
        <v>-80750.554809998954</v>
      </c>
      <c r="AQ29" s="11">
        <f>AQ26-AQ27-AQ28</f>
        <v>-2772.8382500019034</v>
      </c>
      <c r="AR29" s="11">
        <f>AP29-AQ29</f>
        <v>-77977.716559997047</v>
      </c>
      <c r="AS29" s="11">
        <f>AR29/AQ29*100</f>
        <v>2812.1985319534424</v>
      </c>
    </row>
    <row r="30" spans="1:45" s="12" customFormat="1" ht="15" customHeight="1" x14ac:dyDescent="0.25">
      <c r="A30" s="8" t="s">
        <v>29</v>
      </c>
      <c r="B30" s="9">
        <f>ROUND((B29/B21*100),0)</f>
        <v>0</v>
      </c>
      <c r="C30" s="9">
        <f>ROUND((C29/C21*100),0)</f>
        <v>-4</v>
      </c>
      <c r="D30" s="9"/>
      <c r="E30" s="9">
        <f>B30-C30</f>
        <v>4</v>
      </c>
      <c r="F30" s="9"/>
      <c r="G30" s="9">
        <f>ROUND((G29/G21*100),0)</f>
        <v>6</v>
      </c>
      <c r="H30" s="9">
        <f>ROUND((H29/H21*100),0)</f>
        <v>7</v>
      </c>
      <c r="I30" s="9"/>
      <c r="J30" s="9">
        <f>G30-H30</f>
        <v>-1</v>
      </c>
      <c r="K30" s="9"/>
      <c r="L30" s="9">
        <f>ROUND((L29/L21*100),0)</f>
        <v>3</v>
      </c>
      <c r="M30" s="9">
        <f>ROUND((M29/M21*100),0)</f>
        <v>0</v>
      </c>
      <c r="N30" s="9"/>
      <c r="O30" s="9">
        <f>L30-M30</f>
        <v>3</v>
      </c>
      <c r="P30" s="9"/>
      <c r="Q30" s="9">
        <f>ROUND((Q29/Q21*100),0)</f>
        <v>-2</v>
      </c>
      <c r="R30" s="9">
        <f>ROUND((R29/R21*100),0)</f>
        <v>0</v>
      </c>
      <c r="S30" s="9"/>
      <c r="T30" s="9">
        <f>Q30-R30</f>
        <v>-2</v>
      </c>
      <c r="U30" s="9"/>
      <c r="V30" s="9">
        <f>ROUND((V29/V21*100),0)</f>
        <v>-5</v>
      </c>
      <c r="W30" s="9">
        <f>ROUND((W29/W21*100),0)</f>
        <v>-1</v>
      </c>
      <c r="X30" s="9"/>
      <c r="Y30" s="9">
        <f>V30-W30</f>
        <v>-4</v>
      </c>
      <c r="Z30" s="9"/>
      <c r="AA30" s="9">
        <f>ROUND((AA29/AA21*100),0)</f>
        <v>0</v>
      </c>
      <c r="AB30" s="9">
        <f>ROUND((AB29/AB21*100),0)</f>
        <v>0</v>
      </c>
      <c r="AC30" s="9"/>
      <c r="AD30" s="9">
        <f>AA30-AB30</f>
        <v>0</v>
      </c>
      <c r="AE30" s="9"/>
      <c r="AF30" s="9">
        <f>ROUND((AF29/AF21*100),0)</f>
        <v>1</v>
      </c>
      <c r="AG30" s="9">
        <f>ROUND((AG29/AG21*100),0)</f>
        <v>2</v>
      </c>
      <c r="AH30" s="9"/>
      <c r="AI30" s="9">
        <f>AF30-AG30</f>
        <v>-1</v>
      </c>
      <c r="AJ30" s="9"/>
      <c r="AK30" s="9">
        <f>ROUND((AK29/AK21*100),0)</f>
        <v>-2</v>
      </c>
      <c r="AL30" s="9">
        <f>ROUND((AL29/AL21*100),0)</f>
        <v>-1</v>
      </c>
      <c r="AM30" s="9"/>
      <c r="AN30" s="9">
        <f>AK30-AL30</f>
        <v>-1</v>
      </c>
      <c r="AO30" s="9"/>
      <c r="AP30" s="9">
        <f>ROUND((AP29/AP21*100),0)</f>
        <v>-2</v>
      </c>
      <c r="AQ30" s="9">
        <f>ROUND((AQ29/AQ21*100),0)</f>
        <v>0</v>
      </c>
      <c r="AR30" s="9"/>
      <c r="AS30" s="9">
        <f>AP30-AQ30</f>
        <v>-2</v>
      </c>
    </row>
    <row r="31" spans="1:45" s="12" customFormat="1" ht="15" customHeight="1" x14ac:dyDescent="0.25">
      <c r="A31" s="8" t="s">
        <v>35</v>
      </c>
      <c r="B31" s="9">
        <v>0</v>
      </c>
      <c r="C31" s="9">
        <v>0</v>
      </c>
      <c r="D31" s="9">
        <f>B31-C31</f>
        <v>0</v>
      </c>
      <c r="E31" s="9">
        <f>IFERROR(D31/C31*100,0)</f>
        <v>0</v>
      </c>
      <c r="F31" s="9"/>
      <c r="G31" s="9">
        <v>1.5904</v>
      </c>
      <c r="H31" s="9">
        <v>227.26131000000001</v>
      </c>
      <c r="I31" s="9">
        <f>G31-H31</f>
        <v>-225.67091000000002</v>
      </c>
      <c r="J31" s="9">
        <f>I31/H31*100</f>
        <v>-99.300188844286779</v>
      </c>
      <c r="K31" s="9"/>
      <c r="L31" s="9">
        <v>10494.65999</v>
      </c>
      <c r="M31" s="9">
        <v>6193.6776899999995</v>
      </c>
      <c r="N31" s="9">
        <f>L30-M31</f>
        <v>-6190.6776899999995</v>
      </c>
      <c r="O31" s="9">
        <f>N31/M31*100</f>
        <v>-99.951563511210097</v>
      </c>
      <c r="P31" s="9"/>
      <c r="Q31" s="9">
        <v>0</v>
      </c>
      <c r="R31" s="9">
        <v>0</v>
      </c>
      <c r="S31" s="9">
        <f>Q31-R31</f>
        <v>0</v>
      </c>
      <c r="T31" s="9">
        <f>IFERROR(S31/R31*100,0)</f>
        <v>0</v>
      </c>
      <c r="U31" s="9"/>
      <c r="V31" s="9">
        <v>1045</v>
      </c>
      <c r="W31" s="9">
        <v>875</v>
      </c>
      <c r="X31" s="9">
        <f>V31-W31</f>
        <v>170</v>
      </c>
      <c r="Y31" s="9">
        <f>X31/W31*100</f>
        <v>19.428571428571427</v>
      </c>
      <c r="Z31" s="9"/>
      <c r="AA31" s="9">
        <v>0</v>
      </c>
      <c r="AB31" s="9">
        <v>0</v>
      </c>
      <c r="AC31" s="9">
        <f>AA31-AB31</f>
        <v>0</v>
      </c>
      <c r="AD31" s="9">
        <f>IFERROR(AC31/AB31*100,0)</f>
        <v>0</v>
      </c>
      <c r="AE31" s="9"/>
      <c r="AF31" s="9">
        <v>49</v>
      </c>
      <c r="AG31" s="9">
        <v>7</v>
      </c>
      <c r="AH31" s="9">
        <f>AF31-AG31</f>
        <v>42</v>
      </c>
      <c r="AI31" s="9">
        <f>AH31/AG31*100</f>
        <v>600</v>
      </c>
      <c r="AJ31" s="9"/>
      <c r="AK31" s="9">
        <v>0</v>
      </c>
      <c r="AL31" s="9">
        <v>0</v>
      </c>
      <c r="AM31" s="9">
        <f>AK31-AL31</f>
        <v>0</v>
      </c>
      <c r="AN31" s="9">
        <f>IFERROR(AM31/AL31*100,0)</f>
        <v>0</v>
      </c>
      <c r="AO31" s="9"/>
      <c r="AP31" s="9">
        <f>B31+G31+L31+Q31+V31+AA31+AF31+AK31</f>
        <v>11590.250389999999</v>
      </c>
      <c r="AQ31" s="9">
        <f>C31+H31+M31+R31+W31+AB31+AG31+AL31</f>
        <v>7302.9389999999994</v>
      </c>
      <c r="AR31" s="11">
        <f>AP31-AQ31</f>
        <v>4287.3113899999998</v>
      </c>
      <c r="AS31" s="11">
        <f>AR31/AQ31*100</f>
        <v>58.70665755252783</v>
      </c>
    </row>
    <row r="32" spans="1:45" s="12" customFormat="1" ht="15" customHeight="1" x14ac:dyDescent="0.25">
      <c r="A32" s="8" t="s">
        <v>36</v>
      </c>
      <c r="B32" s="9">
        <f>B29-B31</f>
        <v>513.62597000004394</v>
      </c>
      <c r="C32" s="9">
        <f>C29-C31</f>
        <v>-6012.4606499999882</v>
      </c>
      <c r="D32" s="9">
        <f>B32-C32</f>
        <v>6526.0866200000319</v>
      </c>
      <c r="E32" s="9">
        <f>D32/C32*100</f>
        <v>-108.54269158501762</v>
      </c>
      <c r="F32" s="9"/>
      <c r="G32" s="9">
        <f>G29-G31</f>
        <v>1904.0803699999974</v>
      </c>
      <c r="H32" s="9">
        <f>H29-H31</f>
        <v>1896.5937999999994</v>
      </c>
      <c r="I32" s="9">
        <f>G32-H32</f>
        <v>7.4865699999979824</v>
      </c>
      <c r="J32" s="9">
        <f>I32/H32*100</f>
        <v>0.394737660747282</v>
      </c>
      <c r="K32" s="9"/>
      <c r="L32" s="9">
        <f>L29-L31</f>
        <v>-1050.9657300000545</v>
      </c>
      <c r="M32" s="9">
        <f>M29-M31</f>
        <v>-4871.7612799999824</v>
      </c>
      <c r="N32" s="9">
        <f>L31-M32</f>
        <v>15366.421269999983</v>
      </c>
      <c r="O32" s="9">
        <f>N32/M32*100</f>
        <v>-315.41819040033175</v>
      </c>
      <c r="P32" s="9"/>
      <c r="Q32" s="9">
        <f>Q29-Q31</f>
        <v>-11780.731269999953</v>
      </c>
      <c r="R32" s="9">
        <f>R29-R31</f>
        <v>2554.6300999998143</v>
      </c>
      <c r="S32" s="9">
        <f>Q32-R32</f>
        <v>-14335.361369999768</v>
      </c>
      <c r="T32" s="9">
        <f>S32/R32*100</f>
        <v>-561.15213588068229</v>
      </c>
      <c r="U32" s="9"/>
      <c r="V32" s="9">
        <f>V29-V31</f>
        <v>-83224.797240000174</v>
      </c>
      <c r="W32" s="9">
        <f>W29-W31</f>
        <v>-8770.0068099998371</v>
      </c>
      <c r="X32" s="9">
        <f>V32-W32</f>
        <v>-74454.790430000343</v>
      </c>
      <c r="Y32" s="9">
        <f>X32/W32*100</f>
        <v>848.97072537166844</v>
      </c>
      <c r="Z32" s="9"/>
      <c r="AA32" s="9">
        <f>AA29-AA31</f>
        <v>3933.0269000000226</v>
      </c>
      <c r="AB32" s="9">
        <f>AB29-AB31</f>
        <v>5028.0458899995683</v>
      </c>
      <c r="AC32" s="9">
        <f>AA32-AB32</f>
        <v>-1095.0189899995457</v>
      </c>
      <c r="AD32" s="9">
        <f>AC32/AB32*100</f>
        <v>-21.778221876961425</v>
      </c>
      <c r="AE32" s="9"/>
      <c r="AF32" s="9">
        <f>AF29-AF31</f>
        <v>1698.2386900000201</v>
      </c>
      <c r="AG32" s="9">
        <f>AG29-AG31</f>
        <v>2443.3248199999775</v>
      </c>
      <c r="AH32" s="9">
        <f>AF32-AG32</f>
        <v>-745.08612999995739</v>
      </c>
      <c r="AI32" s="9">
        <f>AH32/AG32*100</f>
        <v>-30.494763688438454</v>
      </c>
      <c r="AJ32" s="9"/>
      <c r="AK32" s="9">
        <f>AK29-AK31</f>
        <v>-4333.2828899999949</v>
      </c>
      <c r="AL32" s="9">
        <f>AL29-AL31</f>
        <v>-2344.1431199999929</v>
      </c>
      <c r="AM32" s="9">
        <f>AK32-AL32</f>
        <v>-1989.139770000002</v>
      </c>
      <c r="AN32" s="9">
        <f>AM32/AL32*100</f>
        <v>84.855730566485548</v>
      </c>
      <c r="AO32" s="9"/>
      <c r="AP32" s="9">
        <f>AP26-AP27-AP28-AP31</f>
        <v>-92340.805199998955</v>
      </c>
      <c r="AQ32" s="9">
        <f>AQ26-AQ27-AQ28-AQ31</f>
        <v>-10075.777250001902</v>
      </c>
      <c r="AR32" s="11">
        <f>AP32-AQ32</f>
        <v>-82265.027949997049</v>
      </c>
      <c r="AS32" s="11">
        <f>AR32/AQ32*100</f>
        <v>816.46334480033806</v>
      </c>
    </row>
    <row r="33" spans="1:45" s="12" customFormat="1" ht="15" customHeight="1" x14ac:dyDescent="0.25">
      <c r="A33" s="8" t="s">
        <v>29</v>
      </c>
      <c r="B33" s="9">
        <f>ROUND((B32/B21*100),0)</f>
        <v>0</v>
      </c>
      <c r="C33" s="9">
        <f>ROUND((C32/C21*100),0)</f>
        <v>-4</v>
      </c>
      <c r="D33" s="9"/>
      <c r="E33" s="9">
        <f>B33-C33</f>
        <v>4</v>
      </c>
      <c r="F33" s="9"/>
      <c r="G33" s="9">
        <f>ROUND((G32/G21*100),0)</f>
        <v>6</v>
      </c>
      <c r="H33" s="9">
        <f>ROUND((H32/H21*100),0)</f>
        <v>6</v>
      </c>
      <c r="I33" s="9"/>
      <c r="J33" s="9">
        <f>G33-H33</f>
        <v>0</v>
      </c>
      <c r="K33" s="9"/>
      <c r="L33" s="9">
        <f>ROUND((L32/L21*100),0)</f>
        <v>0</v>
      </c>
      <c r="M33" s="9">
        <f>ROUND((M32/M21*100),0)</f>
        <v>-2</v>
      </c>
      <c r="N33" s="9"/>
      <c r="O33" s="9">
        <f>L33-M33</f>
        <v>2</v>
      </c>
      <c r="P33" s="9"/>
      <c r="Q33" s="9">
        <f>ROUND((Q32/Q21*100),0)</f>
        <v>-2</v>
      </c>
      <c r="R33" s="9">
        <f>ROUND((R32/R21*100),0)</f>
        <v>0</v>
      </c>
      <c r="S33" s="9"/>
      <c r="T33" s="9">
        <f>Q33-R33</f>
        <v>-2</v>
      </c>
      <c r="U33" s="9"/>
      <c r="V33" s="9">
        <f>ROUND((V32/V21*100),0)</f>
        <v>-5</v>
      </c>
      <c r="W33" s="9">
        <f>ROUND((W32/W21*100),0)</f>
        <v>-1</v>
      </c>
      <c r="X33" s="9"/>
      <c r="Y33" s="9">
        <f>V33-W33</f>
        <v>-4</v>
      </c>
      <c r="Z33" s="9"/>
      <c r="AA33" s="9">
        <f>ROUND((AA32/AA21*100),0)</f>
        <v>0</v>
      </c>
      <c r="AB33" s="9">
        <f>ROUND((AB32/AB21*100),0)</f>
        <v>0</v>
      </c>
      <c r="AC33" s="9"/>
      <c r="AD33" s="9">
        <f>AA33-AB33</f>
        <v>0</v>
      </c>
      <c r="AE33" s="9"/>
      <c r="AF33" s="9">
        <f>ROUND((AF32/AF21*100),0)</f>
        <v>1</v>
      </c>
      <c r="AG33" s="9">
        <f>ROUND((AG32/AG21*100),0)</f>
        <v>2</v>
      </c>
      <c r="AH33" s="9"/>
      <c r="AI33" s="9">
        <f>AF33-AG33</f>
        <v>-1</v>
      </c>
      <c r="AJ33" s="9"/>
      <c r="AK33" s="9">
        <f>ROUND((AK32/AK21*100),0)</f>
        <v>-2</v>
      </c>
      <c r="AL33" s="9">
        <f>ROUND((AL32/AL21*100),0)</f>
        <v>-1</v>
      </c>
      <c r="AM33" s="9"/>
      <c r="AN33" s="9">
        <f>AK33-AL33</f>
        <v>-1</v>
      </c>
      <c r="AO33" s="9"/>
      <c r="AP33" s="9">
        <f>ROUND((AP32/AP21*100),0)</f>
        <v>-2</v>
      </c>
      <c r="AQ33" s="9">
        <f>ROUND((AQ32/AQ21*100),0)</f>
        <v>0</v>
      </c>
      <c r="AR33" s="9"/>
      <c r="AS33" s="9">
        <f>AP33-AQ33</f>
        <v>-2</v>
      </c>
    </row>
    <row r="34" spans="1:45" ht="15.75" customHeight="1" x14ac:dyDescent="0.25">
      <c r="B34" s="13"/>
      <c r="C34" s="13"/>
      <c r="D34" s="13"/>
      <c r="E34" s="10"/>
      <c r="F34" s="13"/>
      <c r="G34" s="13"/>
      <c r="H34" s="13"/>
      <c r="I34" s="13"/>
      <c r="J34" s="10"/>
      <c r="K34" s="13"/>
      <c r="L34" s="13"/>
      <c r="M34" s="13"/>
      <c r="N34" s="13"/>
      <c r="O34" s="10"/>
      <c r="P34" s="13"/>
      <c r="Q34" s="13"/>
      <c r="R34" s="13"/>
      <c r="S34" s="13"/>
      <c r="T34" s="10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5"/>
      <c r="AQ34" s="15"/>
      <c r="AR34" s="15"/>
      <c r="AS34" s="15"/>
    </row>
    <row r="35" spans="1:45" ht="15.6" x14ac:dyDescent="0.3">
      <c r="A35" s="1" t="s">
        <v>37</v>
      </c>
      <c r="B35" s="13"/>
      <c r="C35" s="13"/>
      <c r="D35" s="13"/>
      <c r="E35" s="10"/>
      <c r="F35" s="13"/>
      <c r="G35" s="13"/>
      <c r="H35" s="13"/>
      <c r="I35" s="13"/>
      <c r="J35" s="10"/>
      <c r="K35" s="13"/>
      <c r="L35" s="13"/>
      <c r="M35" s="13"/>
      <c r="N35" s="13"/>
      <c r="O35" s="10"/>
      <c r="P35" s="13"/>
      <c r="Q35" s="13"/>
      <c r="R35" s="13"/>
      <c r="S35" s="13"/>
      <c r="T35" s="10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5"/>
      <c r="AS35" s="15"/>
    </row>
    <row r="36" spans="1:45" x14ac:dyDescent="0.25">
      <c r="B36" s="13"/>
      <c r="C36" s="13"/>
      <c r="D36" s="13"/>
      <c r="E36" s="10"/>
      <c r="F36" s="13"/>
      <c r="G36" s="13"/>
      <c r="H36" s="13"/>
      <c r="I36" s="13"/>
      <c r="J36" s="10"/>
      <c r="K36" s="13"/>
      <c r="L36" s="13"/>
      <c r="M36" s="13"/>
      <c r="N36" s="13"/>
      <c r="O36" s="10"/>
      <c r="P36" s="13"/>
      <c r="Q36" s="13"/>
      <c r="R36" s="13"/>
      <c r="S36" s="13"/>
      <c r="T36" s="10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5"/>
      <c r="AQ36" s="15"/>
      <c r="AR36" s="15"/>
      <c r="AS36" s="15"/>
    </row>
    <row r="37" spans="1:45" s="12" customFormat="1" ht="15" customHeight="1" x14ac:dyDescent="0.25">
      <c r="A37" s="8" t="s">
        <v>38</v>
      </c>
      <c r="B37" s="9">
        <v>38937.4</v>
      </c>
      <c r="C37" s="9">
        <v>22640.147359999999</v>
      </c>
      <c r="D37" s="9">
        <f>B37-C37</f>
        <v>16297.252640000002</v>
      </c>
      <c r="E37" s="9">
        <f>D37/C37*100</f>
        <v>71.98386291775445</v>
      </c>
      <c r="F37" s="9"/>
      <c r="G37" s="9">
        <v>5711.53</v>
      </c>
      <c r="H37" s="9">
        <v>8127.0213300000005</v>
      </c>
      <c r="I37" s="9">
        <f>G37-H37</f>
        <v>-2415.4913300000007</v>
      </c>
      <c r="J37" s="9">
        <f>I37/H37*100</f>
        <v>-29.721729917005156</v>
      </c>
      <c r="K37" s="9"/>
      <c r="L37" s="9">
        <v>17599.84</v>
      </c>
      <c r="M37" s="9">
        <v>31734.869340000001</v>
      </c>
      <c r="N37" s="9">
        <f>L37-M37</f>
        <v>-14135.029340000001</v>
      </c>
      <c r="O37" s="9">
        <f>N37/M37*100</f>
        <v>-44.541003741217864</v>
      </c>
      <c r="P37" s="9"/>
      <c r="Q37" s="9">
        <v>86559.88</v>
      </c>
      <c r="R37" s="9">
        <v>33421.34895</v>
      </c>
      <c r="S37" s="9">
        <f>Q37-R37</f>
        <v>53138.531050000005</v>
      </c>
      <c r="T37" s="9">
        <f>S37/R37*100</f>
        <v>158.99576982813556</v>
      </c>
      <c r="U37" s="9"/>
      <c r="V37" s="9">
        <v>234033.63</v>
      </c>
      <c r="W37" s="9">
        <v>127953.39933</v>
      </c>
      <c r="X37" s="9">
        <f>V37-W37</f>
        <v>106080.23067</v>
      </c>
      <c r="Y37" s="9">
        <f>X37/W37*100</f>
        <v>82.905363378750337</v>
      </c>
      <c r="Z37" s="9"/>
      <c r="AA37" s="9">
        <v>509709.6</v>
      </c>
      <c r="AB37" s="9">
        <v>398236.78119000001</v>
      </c>
      <c r="AC37" s="9">
        <f>AA37-AB37</f>
        <v>111472.81880999997</v>
      </c>
      <c r="AD37" s="9">
        <f>AC37/AB37*100</f>
        <v>27.991592960574863</v>
      </c>
      <c r="AE37" s="9"/>
      <c r="AF37" s="9">
        <v>10233.76</v>
      </c>
      <c r="AG37" s="9">
        <v>8209.7214000000004</v>
      </c>
      <c r="AH37" s="9">
        <f>AF37-AG37</f>
        <v>2024.0385999999999</v>
      </c>
      <c r="AI37" s="9">
        <f>AH37/AG37*100</f>
        <v>24.65416914147659</v>
      </c>
      <c r="AJ37" s="9"/>
      <c r="AK37" s="9">
        <v>20999.47</v>
      </c>
      <c r="AL37" s="9">
        <v>8653.6844199999996</v>
      </c>
      <c r="AM37" s="9">
        <f>AK37-AL37</f>
        <v>12345.785580000002</v>
      </c>
      <c r="AN37" s="9">
        <f>AM37/AL37*100</f>
        <v>142.66507744917283</v>
      </c>
      <c r="AO37" s="9"/>
      <c r="AP37" s="9">
        <f t="shared" ref="AP37:AQ39" si="25">B37+G37+L37+Q37+V37+AA37+AF37+AK37</f>
        <v>923785.11</v>
      </c>
      <c r="AQ37" s="9">
        <f t="shared" si="25"/>
        <v>638976.97331999999</v>
      </c>
      <c r="AR37" s="11">
        <f>AP37-AQ37</f>
        <v>284808.13668</v>
      </c>
      <c r="AS37" s="11">
        <f>AR37/AQ37*100</f>
        <v>44.572519601166896</v>
      </c>
    </row>
    <row r="38" spans="1:45" s="12" customFormat="1" ht="15" customHeight="1" x14ac:dyDescent="0.25">
      <c r="A38" s="8" t="s">
        <v>39</v>
      </c>
      <c r="B38" s="9">
        <v>0</v>
      </c>
      <c r="C38" s="9">
        <v>0</v>
      </c>
      <c r="D38" s="9">
        <f>B38-C38</f>
        <v>0</v>
      </c>
      <c r="E38" s="9"/>
      <c r="F38" s="9"/>
      <c r="G38" s="9">
        <v>0</v>
      </c>
      <c r="H38" s="9">
        <v>0</v>
      </c>
      <c r="I38" s="9">
        <f>G38-H38</f>
        <v>0</v>
      </c>
      <c r="J38" s="9"/>
      <c r="K38" s="9"/>
      <c r="L38" s="9">
        <v>10.97</v>
      </c>
      <c r="M38" s="9">
        <v>10.963040000000001</v>
      </c>
      <c r="N38" s="9">
        <f>L38-M38</f>
        <v>6.9599999999994111E-3</v>
      </c>
      <c r="O38" s="9"/>
      <c r="P38" s="9"/>
      <c r="Q38" s="9">
        <v>16097.05</v>
      </c>
      <c r="R38" s="9">
        <v>13225.42367</v>
      </c>
      <c r="S38" s="9">
        <f>Q38-R38</f>
        <v>2871.6263299999991</v>
      </c>
      <c r="T38" s="9">
        <f>S38/R38*100</f>
        <v>21.712925057470006</v>
      </c>
      <c r="U38" s="9"/>
      <c r="V38" s="9">
        <v>11302.37</v>
      </c>
      <c r="W38" s="9">
        <v>24879.972839999999</v>
      </c>
      <c r="X38" s="9">
        <f>V38-W38</f>
        <v>-13577.602839999998</v>
      </c>
      <c r="Y38" s="9">
        <f>X38/W38*100</f>
        <v>-54.572418255099663</v>
      </c>
      <c r="Z38" s="9"/>
      <c r="AA38" s="9">
        <v>9701.4599999999991</v>
      </c>
      <c r="AB38" s="9">
        <v>15563.322169999999</v>
      </c>
      <c r="AC38" s="9">
        <f>AA38-AB38</f>
        <v>-5861.8621700000003</v>
      </c>
      <c r="AD38" s="9">
        <f>AC38/AB38*100</f>
        <v>-37.664594396814451</v>
      </c>
      <c r="AE38" s="9"/>
      <c r="AF38" s="9">
        <v>-39.78</v>
      </c>
      <c r="AG38" s="9">
        <v>453.43709999999999</v>
      </c>
      <c r="AH38" s="9">
        <f>AF38-AG38</f>
        <v>-493.21709999999996</v>
      </c>
      <c r="AI38" s="9"/>
      <c r="AJ38" s="9"/>
      <c r="AK38" s="9">
        <v>124.36</v>
      </c>
      <c r="AL38" s="9">
        <v>1204.6178300000001</v>
      </c>
      <c r="AM38" s="9">
        <f>AK38-AL38</f>
        <v>-1080.2578300000002</v>
      </c>
      <c r="AN38" s="9">
        <f>AM38/AL38*100</f>
        <v>-89.67639388170106</v>
      </c>
      <c r="AO38" s="9"/>
      <c r="AP38" s="9">
        <f t="shared" si="25"/>
        <v>37196.43</v>
      </c>
      <c r="AQ38" s="9">
        <f t="shared" si="25"/>
        <v>55337.736650000006</v>
      </c>
      <c r="AR38" s="11">
        <f>AP38-AQ38</f>
        <v>-18141.306650000006</v>
      </c>
      <c r="AS38" s="11">
        <f>AR38/AQ38*100</f>
        <v>-32.782885148953781</v>
      </c>
    </row>
    <row r="39" spans="1:45" s="12" customFormat="1" ht="15" customHeight="1" x14ac:dyDescent="0.25">
      <c r="A39" s="8" t="s">
        <v>40</v>
      </c>
      <c r="B39" s="9">
        <v>2156.9499999999998</v>
      </c>
      <c r="C39" s="9">
        <v>1567.4650100000001</v>
      </c>
      <c r="D39" s="9">
        <f>B39-C39</f>
        <v>589.4849899999997</v>
      </c>
      <c r="E39" s="9">
        <f>D39/C39*100</f>
        <v>37.607537408442667</v>
      </c>
      <c r="F39" s="9"/>
      <c r="G39" s="9">
        <v>95.64</v>
      </c>
      <c r="H39" s="9">
        <v>95.144829999999999</v>
      </c>
      <c r="I39" s="9">
        <f>G39-H39</f>
        <v>0.49517000000000166</v>
      </c>
      <c r="J39" s="9">
        <f>I39/H39*100</f>
        <v>0.52043815728085452</v>
      </c>
      <c r="K39" s="9"/>
      <c r="L39" s="9">
        <v>7492.05</v>
      </c>
      <c r="M39" s="9">
        <v>1119.83071</v>
      </c>
      <c r="N39" s="9">
        <f>L39-M39</f>
        <v>6372.21929</v>
      </c>
      <c r="O39" s="9">
        <f>N39/M39*100</f>
        <v>569.03416142248864</v>
      </c>
      <c r="P39" s="9"/>
      <c r="Q39" s="9">
        <v>-506.59</v>
      </c>
      <c r="R39" s="9">
        <v>13721.586529999999</v>
      </c>
      <c r="S39" s="9">
        <f>Q39-R39</f>
        <v>-14228.176529999999</v>
      </c>
      <c r="T39" s="9">
        <f>S39/R39*100</f>
        <v>-103.69192001881433</v>
      </c>
      <c r="U39" s="9"/>
      <c r="V39" s="9">
        <v>96939.98</v>
      </c>
      <c r="W39" s="9">
        <v>19595.543320000001</v>
      </c>
      <c r="X39" s="9">
        <f>V39-W39</f>
        <v>77344.436679999999</v>
      </c>
      <c r="Y39" s="9">
        <f>X39/W39*100</f>
        <v>394.70422134740784</v>
      </c>
      <c r="Z39" s="9"/>
      <c r="AA39" s="9">
        <v>156306.72</v>
      </c>
      <c r="AB39" s="9">
        <v>140584.71463999999</v>
      </c>
      <c r="AC39" s="9">
        <f>AA39-AB39</f>
        <v>15722.00536000001</v>
      </c>
      <c r="AD39" s="9">
        <f>AC39/AB39*100</f>
        <v>11.183296420425135</v>
      </c>
      <c r="AE39" s="9"/>
      <c r="AF39" s="9">
        <v>103.25</v>
      </c>
      <c r="AG39" s="9">
        <v>191.59422000000001</v>
      </c>
      <c r="AH39" s="9">
        <f>AF39-AG39</f>
        <v>-88.344220000000007</v>
      </c>
      <c r="AI39" s="9">
        <f>AH39/AG39*100</f>
        <v>-46.11006532451762</v>
      </c>
      <c r="AJ39" s="9"/>
      <c r="AK39" s="9">
        <v>2017.14</v>
      </c>
      <c r="AL39" s="9">
        <v>7019.3489500000005</v>
      </c>
      <c r="AM39" s="9">
        <f>AK39-AL39</f>
        <v>-5002.2089500000002</v>
      </c>
      <c r="AN39" s="9">
        <f>AM39/AL39*100</f>
        <v>-71.263146847828381</v>
      </c>
      <c r="AO39" s="9"/>
      <c r="AP39" s="9">
        <f t="shared" si="25"/>
        <v>264605.14</v>
      </c>
      <c r="AQ39" s="9">
        <f t="shared" si="25"/>
        <v>183895.22821</v>
      </c>
      <c r="AR39" s="11">
        <f>AP39-AQ39</f>
        <v>80709.911790000013</v>
      </c>
      <c r="AS39" s="11">
        <f>AR39/AQ39*100</f>
        <v>43.889073455366095</v>
      </c>
    </row>
    <row r="40" spans="1:45" s="12" customFormat="1" ht="15" customHeight="1" x14ac:dyDescent="0.25">
      <c r="A40" s="8" t="s">
        <v>41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11"/>
      <c r="AQ40" s="11"/>
      <c r="AR40" s="11"/>
      <c r="AS40" s="11"/>
    </row>
    <row r="41" spans="1:45" s="12" customFormat="1" ht="15" hidden="1" customHeight="1" x14ac:dyDescent="0.25">
      <c r="A41" s="8" t="s">
        <v>42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>
        <f t="shared" ref="AP41:AQ46" si="26">B41+G41+L41+Q41+V41+AA41+AF41+AK41</f>
        <v>0</v>
      </c>
      <c r="AQ41" s="9">
        <f t="shared" si="26"/>
        <v>0</v>
      </c>
      <c r="AR41" s="11"/>
      <c r="AS41" s="11"/>
    </row>
    <row r="42" spans="1:45" s="12" customFormat="1" ht="15" hidden="1" customHeight="1" x14ac:dyDescent="0.25">
      <c r="A42" s="8" t="s">
        <v>43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>
        <f t="shared" si="26"/>
        <v>0</v>
      </c>
      <c r="AQ42" s="9">
        <f t="shared" si="26"/>
        <v>0</v>
      </c>
      <c r="AR42" s="11"/>
      <c r="AS42" s="11"/>
    </row>
    <row r="43" spans="1:45" s="12" customFormat="1" ht="15" hidden="1" customHeight="1" x14ac:dyDescent="0.25">
      <c r="A43" s="8" t="s">
        <v>44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>
        <f t="shared" si="26"/>
        <v>0</v>
      </c>
      <c r="AQ43" s="9">
        <f t="shared" si="26"/>
        <v>0</v>
      </c>
      <c r="AR43" s="11"/>
      <c r="AS43" s="11"/>
    </row>
    <row r="44" spans="1:45" s="12" customFormat="1" ht="15" hidden="1" customHeight="1" x14ac:dyDescent="0.25">
      <c r="A44" s="8" t="s">
        <v>45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>
        <f t="shared" si="26"/>
        <v>0</v>
      </c>
      <c r="AQ44" s="9">
        <f t="shared" si="26"/>
        <v>0</v>
      </c>
      <c r="AR44" s="11"/>
      <c r="AS44" s="11"/>
    </row>
    <row r="45" spans="1:45" s="12" customFormat="1" ht="15" hidden="1" customHeight="1" x14ac:dyDescent="0.25">
      <c r="A45" s="8" t="s">
        <v>46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>
        <f t="shared" si="26"/>
        <v>0</v>
      </c>
      <c r="AQ45" s="9">
        <f t="shared" si="26"/>
        <v>0</v>
      </c>
      <c r="AR45" s="11"/>
      <c r="AS45" s="11"/>
    </row>
    <row r="46" spans="1:45" s="12" customFormat="1" ht="15" customHeight="1" x14ac:dyDescent="0.25">
      <c r="A46" s="8" t="s">
        <v>47</v>
      </c>
      <c r="B46" s="9">
        <v>22819.13</v>
      </c>
      <c r="C46" s="9">
        <v>20991.202079999999</v>
      </c>
      <c r="D46" s="9">
        <f>B46-C46</f>
        <v>1827.9279200000019</v>
      </c>
      <c r="E46" s="9">
        <f>D46/C46*100</f>
        <v>8.7080668988538559</v>
      </c>
      <c r="F46" s="9"/>
      <c r="G46" s="9">
        <v>9376.58</v>
      </c>
      <c r="H46" s="9">
        <v>7230.1717099999996</v>
      </c>
      <c r="I46" s="9">
        <f>G46-H46</f>
        <v>2146.4082900000003</v>
      </c>
      <c r="J46" s="9">
        <f>I46/H46*100</f>
        <v>29.686823163982652</v>
      </c>
      <c r="K46" s="9"/>
      <c r="L46" s="9">
        <v>42884.57</v>
      </c>
      <c r="M46" s="9">
        <v>40290.7304</v>
      </c>
      <c r="N46" s="9">
        <f>L46-M46</f>
        <v>2593.8395999999993</v>
      </c>
      <c r="O46" s="9">
        <f>N46/M46*100</f>
        <v>6.4378073424054865</v>
      </c>
      <c r="P46" s="9"/>
      <c r="Q46" s="9">
        <v>168201.91</v>
      </c>
      <c r="R46" s="9">
        <v>152348.37108000001</v>
      </c>
      <c r="S46" s="9">
        <f>Q46-R46</f>
        <v>15853.538919999992</v>
      </c>
      <c r="T46" s="9">
        <f>S46/R46*100</f>
        <v>10.4061098964262</v>
      </c>
      <c r="U46" s="9"/>
      <c r="V46" s="9">
        <v>467390.81</v>
      </c>
      <c r="W46" s="9">
        <v>463407.46938000002</v>
      </c>
      <c r="X46" s="9">
        <f>V46-W46</f>
        <v>3983.3406199999736</v>
      </c>
      <c r="Y46" s="9">
        <f>X46/W46*100</f>
        <v>0.85957626564141187</v>
      </c>
      <c r="Z46" s="9"/>
      <c r="AA46" s="9">
        <v>720682.71</v>
      </c>
      <c r="AB46" s="9">
        <v>609057.77989000001</v>
      </c>
      <c r="AC46" s="9">
        <f>AA46-AB46</f>
        <v>111624.93010999996</v>
      </c>
      <c r="AD46" s="9">
        <f>AC46/AB46*100</f>
        <v>18.32747791681771</v>
      </c>
      <c r="AE46" s="9"/>
      <c r="AF46" s="9">
        <v>40597.25</v>
      </c>
      <c r="AG46" s="9">
        <v>32646.079140000002</v>
      </c>
      <c r="AH46" s="9">
        <f>AF46-AG46</f>
        <v>7951.1708599999984</v>
      </c>
      <c r="AI46" s="9">
        <f>AH46/AG46*100</f>
        <v>24.355668642173114</v>
      </c>
      <c r="AJ46" s="9"/>
      <c r="AK46" s="9">
        <v>51688.08</v>
      </c>
      <c r="AL46" s="9">
        <v>45482.804280000004</v>
      </c>
      <c r="AM46" s="9">
        <f>AK46-AL46</f>
        <v>6205.2757199999978</v>
      </c>
      <c r="AN46" s="9">
        <f>AM46/AL46*100</f>
        <v>13.643124733029319</v>
      </c>
      <c r="AO46" s="9"/>
      <c r="AP46" s="9">
        <f t="shared" si="26"/>
        <v>1523641.04</v>
      </c>
      <c r="AQ46" s="9">
        <f t="shared" si="26"/>
        <v>1371454.6079599999</v>
      </c>
      <c r="AR46" s="11">
        <f>AP46-AQ46</f>
        <v>152186.4320400001</v>
      </c>
      <c r="AS46" s="11">
        <f>AR46/AQ46*100</f>
        <v>11.09671666540777</v>
      </c>
    </row>
    <row r="47" spans="1:45" s="18" customFormat="1" ht="15" customHeight="1" x14ac:dyDescent="0.25">
      <c r="A47" s="22" t="s">
        <v>48</v>
      </c>
      <c r="B47" s="10">
        <f>B46/(B13/6)</f>
        <v>0.57224147132247827</v>
      </c>
      <c r="C47" s="10">
        <f>C46/(C13/6)</f>
        <v>0.79972890902521698</v>
      </c>
      <c r="D47" s="10">
        <f>B47-C47</f>
        <v>-0.22748743770273872</v>
      </c>
      <c r="E47" s="9">
        <f>D47/C47*100</f>
        <v>-28.445568884088644</v>
      </c>
      <c r="F47" s="9"/>
      <c r="G47" s="10">
        <f>G46/(G13/6)</f>
        <v>1.431601598291643</v>
      </c>
      <c r="H47" s="10">
        <f>H46/(H13/6)</f>
        <v>1.180788154353257</v>
      </c>
      <c r="I47" s="10">
        <f>G47-H47</f>
        <v>0.250813443938386</v>
      </c>
      <c r="J47" s="9">
        <f>I47/H47*100</f>
        <v>21.241189032401998</v>
      </c>
      <c r="K47" s="10"/>
      <c r="L47" s="10">
        <f>L46/(L13/6)</f>
        <v>0.72063597621430742</v>
      </c>
      <c r="M47" s="10">
        <f>M46/(M13/6)</f>
        <v>0.7635229387067175</v>
      </c>
      <c r="N47" s="10">
        <f>L47-M47</f>
        <v>-4.2886962492410086E-2</v>
      </c>
      <c r="O47" s="9">
        <f>N47/M47*100</f>
        <v>-5.6169841557155511</v>
      </c>
      <c r="P47" s="10"/>
      <c r="Q47" s="10">
        <f>Q46/(Q13/6)</f>
        <v>1.4991687231679078</v>
      </c>
      <c r="R47" s="10">
        <f>R46/(R13/6)</f>
        <v>1.3794233718582898</v>
      </c>
      <c r="S47" s="10">
        <f>Q47-R47</f>
        <v>0.11974535130961805</v>
      </c>
      <c r="T47" s="9">
        <f>S47/R47*100</f>
        <v>8.6808266231057925</v>
      </c>
      <c r="U47" s="10"/>
      <c r="V47" s="10">
        <f>V46/(V13/6)</f>
        <v>1.4020262441304485</v>
      </c>
      <c r="W47" s="10">
        <f>W46/(W13/6)</f>
        <v>1.5885277778455484</v>
      </c>
      <c r="X47" s="10">
        <f>V47-W47</f>
        <v>-0.18650153371509992</v>
      </c>
      <c r="Y47" s="9">
        <f>X47/W47*100</f>
        <v>-11.740527066391241</v>
      </c>
      <c r="Z47" s="10"/>
      <c r="AA47" s="10">
        <f>AA46/(AA13/6)</f>
        <v>2.2668562948063951</v>
      </c>
      <c r="AB47" s="10">
        <f>AB46/(AB13/6)</f>
        <v>2.4170673540555812</v>
      </c>
      <c r="AC47" s="10">
        <f>AA47-AB47</f>
        <v>-0.1502110592491861</v>
      </c>
      <c r="AD47" s="9">
        <f>AC47/AB47*100</f>
        <v>-6.2145996468467448</v>
      </c>
      <c r="AE47" s="10"/>
      <c r="AF47" s="10">
        <f>AF46/(AF13/6)</f>
        <v>1.5508503118100543</v>
      </c>
      <c r="AG47" s="10">
        <f>AG46/(AG13/6)</f>
        <v>1.4026265179822386</v>
      </c>
      <c r="AH47" s="10">
        <f>AF47-AG47</f>
        <v>0.1482237938278157</v>
      </c>
      <c r="AI47" s="9">
        <f>AH47/AG47*100</f>
        <v>10.567588158895243</v>
      </c>
      <c r="AJ47" s="10"/>
      <c r="AK47" s="10">
        <f>AK46/(AK13/6)</f>
        <v>1.0811995113292845</v>
      </c>
      <c r="AL47" s="10">
        <f>AL46/(AL13/6)</f>
        <v>1.0944912095553101</v>
      </c>
      <c r="AM47" s="10">
        <f>AK47-AL47</f>
        <v>-1.3291698226025606E-2</v>
      </c>
      <c r="AN47" s="9">
        <f>AM47/AL47*100</f>
        <v>-1.2144179971464548</v>
      </c>
      <c r="AO47" s="10"/>
      <c r="AP47" s="10">
        <f>AP46/(AP13/6)</f>
        <v>1.6150428003244652</v>
      </c>
      <c r="AQ47" s="10">
        <f>AQ46/(AQ13/6)</f>
        <v>1.7055376013474901</v>
      </c>
      <c r="AR47" s="17">
        <f>AP47-AQ47</f>
        <v>-9.0494801023024873E-2</v>
      </c>
      <c r="AS47" s="11">
        <f>AR47/AQ47*100</f>
        <v>-5.305939954154506</v>
      </c>
    </row>
    <row r="48" spans="1:45" s="12" customFormat="1" ht="15" customHeight="1" x14ac:dyDescent="0.25">
      <c r="A48" s="8" t="s">
        <v>49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11"/>
      <c r="AQ48" s="11"/>
      <c r="AR48" s="11"/>
      <c r="AS48" s="11"/>
    </row>
    <row r="49" spans="1:58" s="12" customFormat="1" ht="15" customHeight="1" x14ac:dyDescent="0.25">
      <c r="A49" s="8" t="s">
        <v>47</v>
      </c>
      <c r="B49" s="9">
        <v>47619.39</v>
      </c>
      <c r="C49" s="9">
        <v>23148.866409999995</v>
      </c>
      <c r="D49" s="9">
        <f t="shared" ref="D49:D54" si="27">B49-C49</f>
        <v>24470.523590000004</v>
      </c>
      <c r="E49" s="9">
        <f t="shared" ref="E49:E54" si="28">D49/C49*100</f>
        <v>105.70938186169268</v>
      </c>
      <c r="F49" s="9"/>
      <c r="G49" s="9">
        <v>4020.39</v>
      </c>
      <c r="H49" s="9">
        <v>3588.56259</v>
      </c>
      <c r="I49" s="9">
        <f t="shared" ref="I49:I54" si="29">G49-H49</f>
        <v>431.82740999999987</v>
      </c>
      <c r="J49" s="9">
        <f t="shared" ref="J49:J54" si="30">I49/H49*100</f>
        <v>12.033436763882662</v>
      </c>
      <c r="K49" s="9"/>
      <c r="L49" s="9">
        <v>50261.49</v>
      </c>
      <c r="M49" s="9">
        <v>42650.583039999998</v>
      </c>
      <c r="N49" s="9">
        <f t="shared" ref="N49:N54" si="31">L49-M49</f>
        <v>7610.9069600000003</v>
      </c>
      <c r="O49" s="9">
        <f t="shared" ref="O49:O54" si="32">N49/M49*100</f>
        <v>17.844789959523144</v>
      </c>
      <c r="P49" s="9"/>
      <c r="Q49" s="9">
        <v>144693.44</v>
      </c>
      <c r="R49" s="9">
        <v>81778.256810000006</v>
      </c>
      <c r="S49" s="9">
        <f t="shared" ref="S49:S54" si="33">Q49-R49</f>
        <v>62915.183189999996</v>
      </c>
      <c r="T49" s="9">
        <f t="shared" ref="T49:T54" si="34">S49/R49*100</f>
        <v>76.933876612428108</v>
      </c>
      <c r="U49" s="9"/>
      <c r="V49" s="9">
        <v>572142.78</v>
      </c>
      <c r="W49" s="9">
        <v>445447.55540000001</v>
      </c>
      <c r="X49" s="9">
        <f t="shared" ref="X49:X54" si="35">V49-W49</f>
        <v>126695.22460000002</v>
      </c>
      <c r="Y49" s="9">
        <f t="shared" ref="Y49:Y54" si="36">X49/W49*100</f>
        <v>28.442231428620389</v>
      </c>
      <c r="Z49" s="9"/>
      <c r="AA49" s="9">
        <v>296137.81</v>
      </c>
      <c r="AB49" s="9">
        <v>259254.37788999997</v>
      </c>
      <c r="AC49" s="9">
        <f t="shared" ref="AC49:AC54" si="37">AA49-AB49</f>
        <v>36883.432110000023</v>
      </c>
      <c r="AD49" s="9">
        <f t="shared" ref="AD49:AD54" si="38">AC49/AB49*100</f>
        <v>14.226734533929234</v>
      </c>
      <c r="AE49" s="9"/>
      <c r="AF49" s="9">
        <v>19933.48</v>
      </c>
      <c r="AG49" s="9">
        <v>16781.434699999998</v>
      </c>
      <c r="AH49" s="9">
        <f t="shared" ref="AH49:AH54" si="39">AF49-AG49</f>
        <v>3152.0453000000016</v>
      </c>
      <c r="AI49" s="9">
        <f t="shared" ref="AI49:AI54" si="40">AH49/AG49*100</f>
        <v>18.78293099695464</v>
      </c>
      <c r="AJ49" s="9"/>
      <c r="AK49" s="9">
        <v>39006.400000000001</v>
      </c>
      <c r="AL49" s="9">
        <v>34261.316039999998</v>
      </c>
      <c r="AM49" s="9">
        <f t="shared" ref="AM49:AM54" si="41">AK49-AL49</f>
        <v>4745.0839600000036</v>
      </c>
      <c r="AN49" s="9">
        <f t="shared" ref="AN49:AN54" si="42">AM49/AL49*100</f>
        <v>13.849683866376092</v>
      </c>
      <c r="AO49" s="9"/>
      <c r="AP49" s="9">
        <f>B49+G49+L49+Q49+V49+AA49+AF49+AK49</f>
        <v>1173815.18</v>
      </c>
      <c r="AQ49" s="9">
        <f>C49+H49+M49+R49+W49+AB49+AG49+AL49</f>
        <v>906910.95288</v>
      </c>
      <c r="AR49" s="11">
        <f t="shared" ref="AR49:AR54" si="43">AP49-AQ49</f>
        <v>266904.22711999994</v>
      </c>
      <c r="AS49" s="11">
        <f t="shared" ref="AS49:AS54" si="44">AR49/AQ49*100</f>
        <v>29.43003679384562</v>
      </c>
    </row>
    <row r="50" spans="1:58" s="18" customFormat="1" ht="15" customHeight="1" x14ac:dyDescent="0.25">
      <c r="A50" s="22" t="s">
        <v>50</v>
      </c>
      <c r="B50" s="10">
        <f>B49/(B22/6)</f>
        <v>1.6554418100763555</v>
      </c>
      <c r="C50" s="10">
        <f>C49/(C22/6)</f>
        <v>1.3607098715396233</v>
      </c>
      <c r="D50" s="10">
        <f t="shared" si="27"/>
        <v>0.29473193853673219</v>
      </c>
      <c r="E50" s="9">
        <f t="shared" si="28"/>
        <v>21.660160237042103</v>
      </c>
      <c r="F50" s="9"/>
      <c r="G50" s="10">
        <f>G49/(G22/6)</f>
        <v>1.1120020339808021</v>
      </c>
      <c r="H50" s="10">
        <f>H49/(H22/6)</f>
        <v>1.0900517789712931</v>
      </c>
      <c r="I50" s="10">
        <f t="shared" si="29"/>
        <v>2.1950255009508979E-2</v>
      </c>
      <c r="J50" s="9">
        <f t="shared" si="30"/>
        <v>2.0136892056837832</v>
      </c>
      <c r="K50" s="10"/>
      <c r="L50" s="10">
        <f>L49/(L22/6)</f>
        <v>1.1871303072795549</v>
      </c>
      <c r="M50" s="10">
        <f>M49/(M22/6)</f>
        <v>1.1662927445224494</v>
      </c>
      <c r="N50" s="10">
        <f t="shared" si="31"/>
        <v>2.0837562757105577E-2</v>
      </c>
      <c r="O50" s="9">
        <f t="shared" si="32"/>
        <v>1.7866494372849528</v>
      </c>
      <c r="P50" s="10"/>
      <c r="Q50" s="10">
        <f>Q49/(Q22/6)</f>
        <v>1.7969419712345442</v>
      </c>
      <c r="R50" s="10">
        <f>R49/(R22/6)</f>
        <v>1.0575742140723461</v>
      </c>
      <c r="S50" s="10">
        <f t="shared" si="33"/>
        <v>0.73936775716219816</v>
      </c>
      <c r="T50" s="9">
        <f t="shared" si="34"/>
        <v>69.911666465008935</v>
      </c>
      <c r="U50" s="10"/>
      <c r="V50" s="10">
        <f>V49/(V22/6)</f>
        <v>2.1383887468688072</v>
      </c>
      <c r="W50" s="10">
        <f>W49/(W22/6)</f>
        <v>1.931993169009949</v>
      </c>
      <c r="X50" s="10">
        <f t="shared" si="35"/>
        <v>0.2063955778588582</v>
      </c>
      <c r="Y50" s="9">
        <f t="shared" si="36"/>
        <v>10.683038696489064</v>
      </c>
      <c r="Z50" s="10"/>
      <c r="AA50" s="10">
        <f>AA49/(AA22/6)</f>
        <v>1.2155512613144357</v>
      </c>
      <c r="AB50" s="10">
        <f>AB49/(AB22/6)</f>
        <v>1.3356908485738876</v>
      </c>
      <c r="AC50" s="10">
        <f t="shared" si="37"/>
        <v>-0.12013958725945195</v>
      </c>
      <c r="AD50" s="9">
        <f t="shared" si="38"/>
        <v>-8.9945654256540397</v>
      </c>
      <c r="AE50" s="10"/>
      <c r="AF50" s="10">
        <f>AF49/(AF22/6)</f>
        <v>1.1379631635785041</v>
      </c>
      <c r="AG50" s="10">
        <f>AG49/(AG22/6)</f>
        <v>1.0917859613940935</v>
      </c>
      <c r="AH50" s="10">
        <f t="shared" si="39"/>
        <v>4.6177202184410682E-2</v>
      </c>
      <c r="AI50" s="9">
        <f t="shared" si="40"/>
        <v>4.2295105283683405</v>
      </c>
      <c r="AJ50" s="10"/>
      <c r="AK50" s="10">
        <f>AK49/(AK22/6)</f>
        <v>1.1216187531812263</v>
      </c>
      <c r="AL50" s="10">
        <f>AL49/(AL22/6)</f>
        <v>1.1705008056582498</v>
      </c>
      <c r="AM50" s="10">
        <f t="shared" si="41"/>
        <v>-4.8882052477023485E-2</v>
      </c>
      <c r="AN50" s="9">
        <f t="shared" si="42"/>
        <v>-4.1761656412986303</v>
      </c>
      <c r="AO50" s="10"/>
      <c r="AP50" s="10">
        <f>AP49/(AP22/6)</f>
        <v>1.6332083071551113</v>
      </c>
      <c r="AQ50" s="10">
        <f>AQ49/(AQ22/6)</f>
        <v>1.5027455558928069</v>
      </c>
      <c r="AR50" s="17">
        <f t="shared" si="43"/>
        <v>0.13046275126230444</v>
      </c>
      <c r="AS50" s="11">
        <f t="shared" si="44"/>
        <v>8.6816261575828975</v>
      </c>
    </row>
    <row r="51" spans="1:58" s="12" customFormat="1" ht="15" customHeight="1" x14ac:dyDescent="0.25">
      <c r="A51" s="8" t="s">
        <v>51</v>
      </c>
      <c r="B51" s="9">
        <v>27693.726383333338</v>
      </c>
      <c r="C51" s="9">
        <v>18655.732983333335</v>
      </c>
      <c r="D51" s="9">
        <f t="shared" si="27"/>
        <v>9037.993400000003</v>
      </c>
      <c r="E51" s="9">
        <f t="shared" si="28"/>
        <v>48.446198324527742</v>
      </c>
      <c r="F51" s="9"/>
      <c r="G51" s="9">
        <v>3750.5053316666667</v>
      </c>
      <c r="H51" s="9">
        <v>3320.5613833333332</v>
      </c>
      <c r="I51" s="9">
        <f t="shared" si="29"/>
        <v>429.94394833333354</v>
      </c>
      <c r="J51" s="9">
        <f t="shared" si="30"/>
        <v>12.947929542616555</v>
      </c>
      <c r="K51" s="9"/>
      <c r="L51" s="9">
        <v>39492.641710000004</v>
      </c>
      <c r="M51" s="9">
        <v>34299.211553333334</v>
      </c>
      <c r="N51" s="9">
        <f t="shared" si="31"/>
        <v>5193.4301566666691</v>
      </c>
      <c r="O51" s="9">
        <f t="shared" si="32"/>
        <v>15.14154384741812</v>
      </c>
      <c r="P51" s="9"/>
      <c r="Q51" s="9">
        <v>69062.743621666668</v>
      </c>
      <c r="R51" s="9">
        <v>76508.342738333333</v>
      </c>
      <c r="S51" s="9">
        <f t="shared" si="33"/>
        <v>-7445.5991166666645</v>
      </c>
      <c r="T51" s="9">
        <f t="shared" si="34"/>
        <v>-9.7317480031313774</v>
      </c>
      <c r="U51" s="9"/>
      <c r="V51" s="9">
        <v>273421.09588500002</v>
      </c>
      <c r="W51" s="9">
        <v>207886.80674166669</v>
      </c>
      <c r="X51" s="9">
        <f t="shared" si="35"/>
        <v>65534.289143333328</v>
      </c>
      <c r="Y51" s="9">
        <f t="shared" si="36"/>
        <v>31.524025103127578</v>
      </c>
      <c r="Z51" s="9"/>
      <c r="AA51" s="9">
        <v>259577.01158166668</v>
      </c>
      <c r="AB51" s="9">
        <v>201557.08821333334</v>
      </c>
      <c r="AC51" s="9">
        <f t="shared" si="37"/>
        <v>58019.923368333344</v>
      </c>
      <c r="AD51" s="9">
        <f t="shared" si="38"/>
        <v>28.785851136588921</v>
      </c>
      <c r="AE51" s="9"/>
      <c r="AF51" s="9">
        <v>16114.596505</v>
      </c>
      <c r="AG51" s="9">
        <v>2121.8641609350002</v>
      </c>
      <c r="AH51" s="9">
        <f t="shared" si="39"/>
        <v>13992.732344065</v>
      </c>
      <c r="AI51" s="9">
        <f t="shared" si="40"/>
        <v>659.45467206058549</v>
      </c>
      <c r="AJ51" s="9"/>
      <c r="AK51" s="9">
        <v>32049.443663333335</v>
      </c>
      <c r="AL51" s="9">
        <v>26309.436684999997</v>
      </c>
      <c r="AM51" s="9">
        <f t="shared" si="41"/>
        <v>5740.0069783333383</v>
      </c>
      <c r="AN51" s="9">
        <f t="shared" si="42"/>
        <v>21.817293342528814</v>
      </c>
      <c r="AO51" s="9"/>
      <c r="AP51" s="9">
        <f t="shared" ref="AP51:AQ53" si="45">B51+G51+L51+Q51+V51+AA51+AF51+AK51</f>
        <v>721161.76468166674</v>
      </c>
      <c r="AQ51" s="9">
        <f t="shared" si="45"/>
        <v>570659.04445926845</v>
      </c>
      <c r="AR51" s="11">
        <f t="shared" si="43"/>
        <v>150502.72022239829</v>
      </c>
      <c r="AS51" s="11">
        <f t="shared" si="44"/>
        <v>26.373492487972054</v>
      </c>
    </row>
    <row r="52" spans="1:58" s="12" customFormat="1" ht="15" customHeight="1" x14ac:dyDescent="0.25">
      <c r="A52" s="8" t="s">
        <v>52</v>
      </c>
      <c r="B52" s="9">
        <v>5986.9373299999997</v>
      </c>
      <c r="C52" s="9">
        <v>2334.1906800000002</v>
      </c>
      <c r="D52" s="9">
        <f t="shared" si="27"/>
        <v>3652.7466499999996</v>
      </c>
      <c r="E52" s="9">
        <f t="shared" si="28"/>
        <v>156.48878565482062</v>
      </c>
      <c r="F52" s="9"/>
      <c r="G52" s="9">
        <v>45.932830000000003</v>
      </c>
      <c r="H52" s="9">
        <v>115.32398000000001</v>
      </c>
      <c r="I52" s="9">
        <f t="shared" si="29"/>
        <v>-69.39115000000001</v>
      </c>
      <c r="J52" s="9">
        <f t="shared" si="30"/>
        <v>-60.170616726894096</v>
      </c>
      <c r="K52" s="9"/>
      <c r="L52" s="9">
        <v>34.803359999999998</v>
      </c>
      <c r="M52" s="9">
        <v>48.721119999999999</v>
      </c>
      <c r="N52" s="9">
        <f t="shared" si="31"/>
        <v>-13.917760000000001</v>
      </c>
      <c r="O52" s="9">
        <f t="shared" si="32"/>
        <v>-28.566174176619917</v>
      </c>
      <c r="P52" s="9"/>
      <c r="Q52" s="9">
        <v>638.09094999999991</v>
      </c>
      <c r="R52" s="9">
        <v>315.71084000000002</v>
      </c>
      <c r="S52" s="9">
        <f t="shared" si="33"/>
        <v>322.38010999999989</v>
      </c>
      <c r="T52" s="9">
        <f t="shared" si="34"/>
        <v>102.11246151700078</v>
      </c>
      <c r="U52" s="9"/>
      <c r="V52" s="9">
        <v>12939.61335</v>
      </c>
      <c r="W52" s="9">
        <v>5109.3666600000006</v>
      </c>
      <c r="X52" s="9">
        <f t="shared" si="35"/>
        <v>7830.246689999999</v>
      </c>
      <c r="Y52" s="9">
        <f t="shared" si="36"/>
        <v>153.25278475904091</v>
      </c>
      <c r="Z52" s="9"/>
      <c r="AA52" s="9">
        <v>4654.8878600000007</v>
      </c>
      <c r="AB52" s="9">
        <v>5640.2137499999999</v>
      </c>
      <c r="AC52" s="9">
        <f t="shared" si="37"/>
        <v>-985.32588999999916</v>
      </c>
      <c r="AD52" s="9">
        <f t="shared" si="38"/>
        <v>-17.469655117237341</v>
      </c>
      <c r="AE52" s="9"/>
      <c r="AF52" s="9">
        <v>863.56663000000003</v>
      </c>
      <c r="AG52" s="9">
        <v>670.34107999999992</v>
      </c>
      <c r="AH52" s="9">
        <f t="shared" si="39"/>
        <v>193.22555000000011</v>
      </c>
      <c r="AI52" s="9">
        <f t="shared" si="40"/>
        <v>28.824960272463109</v>
      </c>
      <c r="AJ52" s="9"/>
      <c r="AK52" s="9">
        <v>3.73</v>
      </c>
      <c r="AL52" s="9">
        <v>24.535</v>
      </c>
      <c r="AM52" s="9">
        <f t="shared" si="41"/>
        <v>-20.805</v>
      </c>
      <c r="AN52" s="9">
        <f t="shared" si="42"/>
        <v>-84.797228449154275</v>
      </c>
      <c r="AO52" s="9"/>
      <c r="AP52" s="9">
        <f t="shared" si="45"/>
        <v>25167.562309999998</v>
      </c>
      <c r="AQ52" s="9">
        <f t="shared" si="45"/>
        <v>14258.403110000001</v>
      </c>
      <c r="AR52" s="11">
        <f t="shared" si="43"/>
        <v>10909.159199999996</v>
      </c>
      <c r="AS52" s="11">
        <f t="shared" si="44"/>
        <v>76.51038560095806</v>
      </c>
    </row>
    <row r="53" spans="1:58" s="12" customFormat="1" ht="15" customHeight="1" x14ac:dyDescent="0.25">
      <c r="A53" s="8" t="s">
        <v>53</v>
      </c>
      <c r="B53" s="9">
        <v>5465.9243000000006</v>
      </c>
      <c r="C53" s="9">
        <v>1818.9997900000001</v>
      </c>
      <c r="D53" s="9">
        <f t="shared" si="27"/>
        <v>3646.9245100000007</v>
      </c>
      <c r="E53" s="9">
        <f t="shared" si="28"/>
        <v>200.49065041398387</v>
      </c>
      <c r="F53" s="9"/>
      <c r="G53" s="9">
        <v>615.95905000000005</v>
      </c>
      <c r="H53" s="9">
        <v>553.51532999999995</v>
      </c>
      <c r="I53" s="9">
        <f t="shared" si="29"/>
        <v>62.443720000000098</v>
      </c>
      <c r="J53" s="9">
        <f t="shared" si="30"/>
        <v>11.281299110541365</v>
      </c>
      <c r="K53" s="9"/>
      <c r="L53" s="9">
        <v>7617.1030899999996</v>
      </c>
      <c r="M53" s="9">
        <v>6511.4838999999993</v>
      </c>
      <c r="N53" s="9">
        <f t="shared" si="31"/>
        <v>1105.6191900000003</v>
      </c>
      <c r="O53" s="9">
        <f t="shared" si="32"/>
        <v>16.979527354740146</v>
      </c>
      <c r="P53" s="9"/>
      <c r="Q53" s="9">
        <v>12998.162319999999</v>
      </c>
      <c r="R53" s="9">
        <v>13351.7071</v>
      </c>
      <c r="S53" s="9">
        <f t="shared" si="33"/>
        <v>-353.54478000000017</v>
      </c>
      <c r="T53" s="9">
        <f t="shared" si="34"/>
        <v>-2.647936906884365</v>
      </c>
      <c r="U53" s="9"/>
      <c r="V53" s="9">
        <v>36692.526599999997</v>
      </c>
      <c r="W53" s="9">
        <v>32045.949190000003</v>
      </c>
      <c r="X53" s="9">
        <f t="shared" si="35"/>
        <v>4646.5774099999944</v>
      </c>
      <c r="Y53" s="9">
        <f t="shared" si="36"/>
        <v>14.499734061395714</v>
      </c>
      <c r="Z53" s="9"/>
      <c r="AA53" s="9">
        <v>39588.015969999993</v>
      </c>
      <c r="AB53" s="9">
        <v>27333.261730000006</v>
      </c>
      <c r="AC53" s="9">
        <f t="shared" si="37"/>
        <v>12254.754239999987</v>
      </c>
      <c r="AD53" s="9">
        <f t="shared" si="38"/>
        <v>44.83458418191492</v>
      </c>
      <c r="AE53" s="9"/>
      <c r="AF53" s="9">
        <v>2969.5447199999999</v>
      </c>
      <c r="AG53" s="9">
        <v>3259.3930999999998</v>
      </c>
      <c r="AH53" s="9">
        <f t="shared" si="39"/>
        <v>-289.84837999999991</v>
      </c>
      <c r="AI53" s="9">
        <f t="shared" si="40"/>
        <v>-8.8927101183346036</v>
      </c>
      <c r="AJ53" s="9"/>
      <c r="AK53" s="9">
        <v>6329.5096999999996</v>
      </c>
      <c r="AL53" s="9">
        <v>5004.9653399999997</v>
      </c>
      <c r="AM53" s="9">
        <f t="shared" si="41"/>
        <v>1324.5443599999999</v>
      </c>
      <c r="AN53" s="9">
        <f t="shared" si="42"/>
        <v>26.464606046602512</v>
      </c>
      <c r="AO53" s="9"/>
      <c r="AP53" s="9">
        <f t="shared" si="45"/>
        <v>112276.74574999999</v>
      </c>
      <c r="AQ53" s="9">
        <f t="shared" si="45"/>
        <v>89879.275479999997</v>
      </c>
      <c r="AR53" s="9">
        <f t="shared" si="43"/>
        <v>22397.470269999991</v>
      </c>
      <c r="AS53" s="11">
        <f t="shared" si="44"/>
        <v>24.919504691583651</v>
      </c>
    </row>
    <row r="54" spans="1:58" ht="15" hidden="1" customHeight="1" x14ac:dyDescent="0.25">
      <c r="A54" s="2" t="s">
        <v>54</v>
      </c>
      <c r="B54" s="13"/>
      <c r="C54" s="13"/>
      <c r="D54" s="13">
        <f t="shared" si="27"/>
        <v>0</v>
      </c>
      <c r="E54" s="9" t="e">
        <f t="shared" si="28"/>
        <v>#DIV/0!</v>
      </c>
      <c r="F54" s="9"/>
      <c r="G54" s="13"/>
      <c r="H54" s="13"/>
      <c r="I54" s="13">
        <f t="shared" si="29"/>
        <v>0</v>
      </c>
      <c r="J54" s="9" t="e">
        <f t="shared" si="30"/>
        <v>#DIV/0!</v>
      </c>
      <c r="K54" s="13"/>
      <c r="L54" s="13"/>
      <c r="M54" s="13"/>
      <c r="N54" s="13">
        <f t="shared" si="31"/>
        <v>0</v>
      </c>
      <c r="O54" s="9" t="e">
        <f t="shared" si="32"/>
        <v>#DIV/0!</v>
      </c>
      <c r="P54" s="13"/>
      <c r="Q54" s="13"/>
      <c r="R54" s="13"/>
      <c r="S54" s="13">
        <f t="shared" si="33"/>
        <v>0</v>
      </c>
      <c r="T54" s="9" t="e">
        <f t="shared" si="34"/>
        <v>#DIV/0!</v>
      </c>
      <c r="U54" s="13"/>
      <c r="V54" s="13"/>
      <c r="W54" s="13"/>
      <c r="X54" s="13">
        <f t="shared" si="35"/>
        <v>0</v>
      </c>
      <c r="Y54" s="9" t="e">
        <f t="shared" si="36"/>
        <v>#DIV/0!</v>
      </c>
      <c r="Z54" s="13"/>
      <c r="AA54" s="13"/>
      <c r="AB54" s="13"/>
      <c r="AC54" s="13">
        <f t="shared" si="37"/>
        <v>0</v>
      </c>
      <c r="AD54" s="9" t="e">
        <f t="shared" si="38"/>
        <v>#DIV/0!</v>
      </c>
      <c r="AE54" s="13"/>
      <c r="AF54" s="13"/>
      <c r="AG54" s="13"/>
      <c r="AH54" s="13">
        <f t="shared" si="39"/>
        <v>0</v>
      </c>
      <c r="AI54" s="9" t="e">
        <f t="shared" si="40"/>
        <v>#DIV/0!</v>
      </c>
      <c r="AJ54" s="13"/>
      <c r="AK54" s="13"/>
      <c r="AL54" s="13"/>
      <c r="AM54" s="13">
        <f t="shared" si="41"/>
        <v>0</v>
      </c>
      <c r="AN54" s="9" t="e">
        <f t="shared" si="42"/>
        <v>#DIV/0!</v>
      </c>
      <c r="AO54" s="13"/>
      <c r="AP54" s="13">
        <f>B54+G54+L54+Q54+V54+AA54+AF54+AK54</f>
        <v>0</v>
      </c>
      <c r="AQ54" s="13">
        <f>C54+H54+M54+R54+W54+AB54+AG54+AL54</f>
        <v>0</v>
      </c>
      <c r="AR54" s="13">
        <f t="shared" si="43"/>
        <v>0</v>
      </c>
      <c r="AS54" s="11" t="e">
        <f t="shared" si="44"/>
        <v>#DIV/0!</v>
      </c>
      <c r="AV54" s="14"/>
      <c r="BA54" s="14"/>
      <c r="BF54" s="14"/>
    </row>
    <row r="55" spans="1:58" ht="11.25" customHeight="1" x14ac:dyDescent="0.25">
      <c r="B55" s="13"/>
      <c r="C55" s="13"/>
      <c r="D55" s="13"/>
      <c r="E55" s="9"/>
      <c r="F55" s="9"/>
      <c r="G55" s="13"/>
      <c r="H55" s="13"/>
      <c r="I55" s="13"/>
      <c r="J55" s="9"/>
      <c r="K55" s="13"/>
      <c r="L55" s="13"/>
      <c r="M55" s="13"/>
      <c r="N55" s="13"/>
      <c r="O55" s="9"/>
      <c r="P55" s="13"/>
      <c r="Q55" s="13"/>
      <c r="R55" s="13"/>
      <c r="S55" s="13"/>
      <c r="T55" s="9"/>
      <c r="U55" s="13"/>
      <c r="V55" s="13"/>
      <c r="W55" s="13"/>
      <c r="X55" s="13"/>
      <c r="Y55" s="9"/>
      <c r="Z55" s="13"/>
      <c r="AA55" s="13"/>
      <c r="AB55" s="13"/>
      <c r="AC55" s="13"/>
      <c r="AD55" s="9"/>
      <c r="AE55" s="13"/>
      <c r="AF55" s="13"/>
      <c r="AG55" s="13"/>
      <c r="AH55" s="13"/>
      <c r="AI55" s="9"/>
      <c r="AJ55" s="13"/>
      <c r="AK55" s="13"/>
      <c r="AL55" s="13"/>
      <c r="AM55" s="13"/>
      <c r="AN55" s="9"/>
      <c r="AO55" s="13"/>
      <c r="AP55" s="15"/>
      <c r="AQ55" s="15"/>
      <c r="AR55" s="15"/>
      <c r="AS55" s="11"/>
    </row>
    <row r="56" spans="1:58" ht="11.25" customHeight="1" x14ac:dyDescent="0.3">
      <c r="A56" s="1" t="s">
        <v>55</v>
      </c>
      <c r="B56" s="13"/>
      <c r="C56" s="13"/>
      <c r="D56" s="13"/>
      <c r="E56" s="9"/>
      <c r="F56" s="9"/>
      <c r="G56" s="13"/>
      <c r="H56" s="13"/>
      <c r="I56" s="13"/>
      <c r="J56" s="9"/>
      <c r="K56" s="13"/>
      <c r="L56" s="13"/>
      <c r="M56" s="13"/>
      <c r="N56" s="13"/>
      <c r="O56" s="9"/>
      <c r="P56" s="13"/>
      <c r="Q56" s="13"/>
      <c r="R56" s="13"/>
      <c r="S56" s="13"/>
      <c r="T56" s="9"/>
      <c r="U56" s="13"/>
      <c r="V56" s="13"/>
      <c r="W56" s="13"/>
      <c r="X56" s="13"/>
      <c r="Y56" s="9"/>
      <c r="Z56" s="13"/>
      <c r="AA56" s="13"/>
      <c r="AB56" s="13"/>
      <c r="AC56" s="13"/>
      <c r="AD56" s="9"/>
      <c r="AE56" s="13"/>
      <c r="AF56" s="13"/>
      <c r="AG56" s="13"/>
      <c r="AH56" s="13"/>
      <c r="AI56" s="9"/>
      <c r="AJ56" s="13"/>
      <c r="AK56" s="13"/>
      <c r="AL56" s="13"/>
      <c r="AM56" s="13"/>
      <c r="AN56" s="9"/>
      <c r="AO56" s="13"/>
      <c r="AP56" s="15"/>
      <c r="AQ56" s="15"/>
      <c r="AR56" s="15"/>
      <c r="AS56" s="11"/>
    </row>
    <row r="57" spans="1:58" s="12" customFormat="1" ht="15" customHeight="1" x14ac:dyDescent="0.25">
      <c r="A57" s="8" t="s">
        <v>56</v>
      </c>
      <c r="B57" s="9">
        <f>+'[5]financial profile(mcso)'!$D$57</f>
        <v>54301.008520000003</v>
      </c>
      <c r="C57" s="9">
        <f>+'[6]financial profile(mcso)'!$D$57</f>
        <v>51396.004520000002</v>
      </c>
      <c r="D57" s="9">
        <f>B57-C57</f>
        <v>2905.0040000000008</v>
      </c>
      <c r="E57" s="9">
        <f>D57/C57*100</f>
        <v>5.6521981175979565</v>
      </c>
      <c r="F57" s="9"/>
      <c r="G57" s="9">
        <f>+'[5]financial profile(mcso)'!$D$58</f>
        <v>33386.445050000002</v>
      </c>
      <c r="H57" s="9">
        <f>+'[6]financial profile(mcso)'!$D$58</f>
        <v>31225.80905</v>
      </c>
      <c r="I57" s="9">
        <f>G57-H57</f>
        <v>2160.6360000000022</v>
      </c>
      <c r="J57" s="9">
        <f>I57/H57*100</f>
        <v>6.9193915729783217</v>
      </c>
      <c r="K57" s="9"/>
      <c r="L57" s="9">
        <f>+'[5]financial profile(mcso)'!$D$59</f>
        <v>256667.40521</v>
      </c>
      <c r="M57" s="9">
        <f>+'[6]financial profile(mcso)'!$D$59</f>
        <v>244835.83321000001</v>
      </c>
      <c r="N57" s="9">
        <f>L57-M57</f>
        <v>11831.571999999986</v>
      </c>
      <c r="O57" s="9">
        <f>N57/M57*100</f>
        <v>4.8324511346555372</v>
      </c>
      <c r="P57" s="9"/>
      <c r="Q57" s="9">
        <f>+'[5]financial profile(mcso)'!$D$60</f>
        <v>402701.17642999999</v>
      </c>
      <c r="R57" s="9">
        <f>+'[6]financial profile(mcso)'!$D$60</f>
        <v>365688.04443000001</v>
      </c>
      <c r="S57" s="9">
        <f>Q57-R57</f>
        <v>37013.131999999983</v>
      </c>
      <c r="T57" s="9">
        <f>S57/R57*100</f>
        <v>10.12150453474424</v>
      </c>
      <c r="U57" s="9"/>
      <c r="V57" s="9">
        <f>+'[5]financial profile(mcso)'!$D$61</f>
        <v>524893.56476999994</v>
      </c>
      <c r="W57" s="9">
        <f>+'[6]financial profile(mcso)'!$D$61</f>
        <v>480754.99576999998</v>
      </c>
      <c r="X57" s="9">
        <f>V57-W57</f>
        <v>44138.568999999959</v>
      </c>
      <c r="Y57" s="9">
        <f>X57/W57*100</f>
        <v>9.1810941931670484</v>
      </c>
      <c r="Z57" s="9"/>
      <c r="AA57" s="9">
        <f>+'[5]financial profile(mcso)'!$D$62</f>
        <v>2556.4422400000003</v>
      </c>
      <c r="AB57" s="9">
        <f>+'[6]financial profile(mcso)'!$D$62</f>
        <v>2556.4422400000003</v>
      </c>
      <c r="AC57" s="9">
        <f>AA57-AB57</f>
        <v>0</v>
      </c>
      <c r="AD57" s="9">
        <f>AC57/AB57*100</f>
        <v>0</v>
      </c>
      <c r="AE57" s="9"/>
      <c r="AF57" s="9">
        <f>+'[5]financial profile(mcso)'!$D$63</f>
        <v>95828.37337999999</v>
      </c>
      <c r="AG57" s="9">
        <f>+'[6]financial profile(mcso)'!$D$63</f>
        <v>89826.989379999999</v>
      </c>
      <c r="AH57" s="9">
        <f>AF57-AG57</f>
        <v>6001.3839999999909</v>
      </c>
      <c r="AI57" s="9">
        <f>AH57/AG57*100</f>
        <v>6.6810476911477128</v>
      </c>
      <c r="AJ57" s="9"/>
      <c r="AK57" s="9">
        <v>49733.206789999997</v>
      </c>
      <c r="AL57" s="9">
        <f>+'[6]financial profile(mcso)'!$D$64</f>
        <v>46590.378790000002</v>
      </c>
      <c r="AM57" s="9">
        <f>AK57-AL57</f>
        <v>3142.8279999999941</v>
      </c>
      <c r="AN57" s="9">
        <f>AM57/AL57*100</f>
        <v>6.7456588283299386</v>
      </c>
      <c r="AO57" s="9"/>
      <c r="AP57" s="9">
        <f>B57+G57+L57+Q57+V57+AA57+AF57+AK57</f>
        <v>1420067.6223899999</v>
      </c>
      <c r="AQ57" s="9">
        <f>C57+H57+M57+R57+W57+AB57+AG57+AL57</f>
        <v>1312874.4973899999</v>
      </c>
      <c r="AR57" s="9">
        <f>AP57-AQ57</f>
        <v>107193.125</v>
      </c>
      <c r="AS57" s="9">
        <f>AR57/AQ57*100</f>
        <v>8.1647655745541847</v>
      </c>
    </row>
    <row r="58" spans="1:58" s="12" customFormat="1" ht="15" customHeight="1" x14ac:dyDescent="0.25">
      <c r="A58" s="8" t="s">
        <v>57</v>
      </c>
      <c r="B58" s="9">
        <f>+'[5]financial profile(mcso)'!$E$57</f>
        <v>54301.008520000003</v>
      </c>
      <c r="C58" s="9">
        <f>+'[6]financial profile(mcso)'!$E$57</f>
        <v>51396.004520000002</v>
      </c>
      <c r="D58" s="9">
        <f>B58-C58</f>
        <v>2905.0040000000008</v>
      </c>
      <c r="E58" s="9">
        <f>D58/C58*100</f>
        <v>5.6521981175979565</v>
      </c>
      <c r="F58" s="9"/>
      <c r="G58" s="9">
        <f>+'[5]financial profile(mcso)'!$E$58</f>
        <v>33387.64748</v>
      </c>
      <c r="H58" s="9">
        <f>+'[6]financial profile(mcso)'!$E$58</f>
        <v>31227.011480000001</v>
      </c>
      <c r="I58" s="9">
        <f>G58-H58</f>
        <v>2160.6359999999986</v>
      </c>
      <c r="J58" s="9">
        <f>I58/H58*100</f>
        <v>6.9191251342890228</v>
      </c>
      <c r="K58" s="9"/>
      <c r="L58" s="11">
        <f>+'[5]financial profile(mcso)'!$E$59</f>
        <v>259625.35821000001</v>
      </c>
      <c r="M58" s="11">
        <f>+'[6]financial profile(mcso)'!$E$59</f>
        <v>246638.01063999999</v>
      </c>
      <c r="N58" s="9">
        <f>L58-M58</f>
        <v>12987.347570000013</v>
      </c>
      <c r="O58" s="9">
        <f>N58/M58*100</f>
        <v>5.2657526454657964</v>
      </c>
      <c r="P58" s="9"/>
      <c r="Q58" s="11">
        <f>+'[5]financial profile(mcso)'!$E$60</f>
        <v>402701.18076999998</v>
      </c>
      <c r="R58" s="11">
        <f>+'[6]financial profile(mcso)'!$E$60</f>
        <v>365688.04876999999</v>
      </c>
      <c r="S58" s="9">
        <f>Q58-R58</f>
        <v>37013.131999999983</v>
      </c>
      <c r="T58" s="9">
        <f>S58/R58*100</f>
        <v>10.12150441462183</v>
      </c>
      <c r="U58" s="9"/>
      <c r="V58" s="11">
        <f>+'[5]financial profile(mcso)'!$E$61</f>
        <v>525980.47461999999</v>
      </c>
      <c r="W58" s="11">
        <f>+'[6]financial profile(mcso)'!$E$61</f>
        <v>482157.01062000002</v>
      </c>
      <c r="X58" s="9">
        <f>V58-W58</f>
        <v>43823.463999999978</v>
      </c>
      <c r="Y58" s="9">
        <f>X58/W58*100</f>
        <v>9.0890442396861353</v>
      </c>
      <c r="Z58" s="9"/>
      <c r="AA58" s="9">
        <f>+'[5]financial profile(mcso)'!$E$62</f>
        <v>2562.92031</v>
      </c>
      <c r="AB58" s="9">
        <f>+'[6]financial profile(mcso)'!$E$62</f>
        <v>2562.92031</v>
      </c>
      <c r="AC58" s="9">
        <f>AA58-AB58</f>
        <v>0</v>
      </c>
      <c r="AD58" s="9">
        <f>AC58/AB58*100</f>
        <v>0</v>
      </c>
      <c r="AE58" s="9"/>
      <c r="AF58" s="9">
        <f>+'[5]financial profile(mcso)'!$E$63</f>
        <v>96009.127629999988</v>
      </c>
      <c r="AG58" s="9">
        <f>+'[6]financial profile(mcso)'!$E$63</f>
        <v>90007.743629999997</v>
      </c>
      <c r="AH58" s="9">
        <f>AF58-AG58</f>
        <v>6001.3839999999909</v>
      </c>
      <c r="AI58" s="9">
        <f>AH58/AG58*100</f>
        <v>6.6676307592713631</v>
      </c>
      <c r="AJ58" s="9"/>
      <c r="AK58" s="9">
        <v>51304.620790000001</v>
      </c>
      <c r="AL58" s="9">
        <f>+'[6]financial profile(mcso)'!$E$64</f>
        <v>47312.112789999999</v>
      </c>
      <c r="AM58" s="9">
        <f>AK58-AL58</f>
        <v>3992.5080000000016</v>
      </c>
      <c r="AN58" s="9">
        <f>AM58/AL58*100</f>
        <v>8.4386592873609061</v>
      </c>
      <c r="AO58" s="9"/>
      <c r="AP58" s="9">
        <f>B58+G58+L58+Q58+V58+AA58+AF58+AK58</f>
        <v>1425872.3383299999</v>
      </c>
      <c r="AQ58" s="9">
        <f>C58+H58+M58+R58+W58+AB58+AG58+AL58</f>
        <v>1316988.8627599999</v>
      </c>
      <c r="AR58" s="9">
        <f>AP58-AQ58</f>
        <v>108883.47557000001</v>
      </c>
      <c r="AS58" s="9">
        <f>AR58/AQ58*100</f>
        <v>8.2676079235639115</v>
      </c>
    </row>
    <row r="59" spans="1:58" s="18" customFormat="1" ht="15" customHeight="1" x14ac:dyDescent="0.25">
      <c r="A59" s="16" t="s">
        <v>58</v>
      </c>
      <c r="B59" s="10">
        <f>+'[5]financial profile(mcso)'!$I$57</f>
        <v>0</v>
      </c>
      <c r="C59" s="10">
        <f>+'[6]financial profile(mcso)'!$I$57</f>
        <v>0</v>
      </c>
      <c r="D59" s="10">
        <f>B59-C59</f>
        <v>0</v>
      </c>
      <c r="E59" s="9"/>
      <c r="F59" s="9"/>
      <c r="G59" s="10">
        <f>+'[5]financial profile(mcso)'!$I$58</f>
        <v>-2.2260667692245214E-3</v>
      </c>
      <c r="H59" s="10">
        <f>+'[6]financial profile(mcso)'!$I$58</f>
        <v>-2.2260667692312565E-3</v>
      </c>
      <c r="I59" s="10">
        <f>G59-H59</f>
        <v>6.7350638954799535E-15</v>
      </c>
      <c r="J59" s="9">
        <f>I59/H59*100</f>
        <v>-3.0255444214756511E-10</v>
      </c>
      <c r="K59" s="10"/>
      <c r="L59" s="17">
        <f>+'[5]financial profile(mcso)'!$I$59</f>
        <v>-1.0000202847094228</v>
      </c>
      <c r="M59" s="17">
        <f>+'[6]financial profile(mcso)'!$I$59</f>
        <v>-0.60927742484260972</v>
      </c>
      <c r="N59" s="10">
        <f>L59-M59</f>
        <v>-0.39074285986681312</v>
      </c>
      <c r="O59" s="9">
        <f>N59/M59*100</f>
        <v>64.132174266550408</v>
      </c>
      <c r="P59" s="10"/>
      <c r="Q59" s="17">
        <f>+'[5]financial profile(mcso)'!$I$60</f>
        <v>-4.2593274707876153E-7</v>
      </c>
      <c r="R59" s="17">
        <f>+'[6]financial profile(mcso)'!$I$60</f>
        <v>-6.7339795444506687E-7</v>
      </c>
      <c r="S59" s="10">
        <f>Q59-R59</f>
        <v>2.4746520736630534E-7</v>
      </c>
      <c r="T59" s="9">
        <f>S59/R59*100</f>
        <v>-36.748731672378817</v>
      </c>
      <c r="U59" s="10"/>
      <c r="V59" s="17">
        <f>+'[5]financial profile(mcso)'!$I$61</f>
        <v>-9.7384795297120796E-2</v>
      </c>
      <c r="W59" s="17">
        <f>+'[6]financial profile(mcso)'!$I$61</f>
        <v>-0.13157508061938697</v>
      </c>
      <c r="X59" s="10">
        <f>V59-W59</f>
        <v>3.4190285322266173E-2</v>
      </c>
      <c r="Y59" s="9">
        <f>X59/W59*100</f>
        <v>-25.985380484903459</v>
      </c>
      <c r="Z59" s="10"/>
      <c r="AA59" s="10">
        <f>+'[5]financial profile(mcso)'!$I$62</f>
        <v>0</v>
      </c>
      <c r="AB59" s="10">
        <v>0</v>
      </c>
      <c r="AC59" s="10">
        <f>AA59-AB59</f>
        <v>0</v>
      </c>
      <c r="AD59" s="9">
        <f>IFERROR(AC59/AB59*100,0)</f>
        <v>0</v>
      </c>
      <c r="AE59" s="10"/>
      <c r="AF59" s="10">
        <f>+'[5]financial profile(mcso)'!$I$63</f>
        <v>-0.12047504375657224</v>
      </c>
      <c r="AG59" s="10">
        <f>+'[6]financial profile(mcso)'!$I$63</f>
        <v>-0.12047504375657224</v>
      </c>
      <c r="AH59" s="10">
        <f>AF59-AG59</f>
        <v>0</v>
      </c>
      <c r="AI59" s="9">
        <f>AH59/AG59*100</f>
        <v>0</v>
      </c>
      <c r="AJ59" s="10"/>
      <c r="AK59" s="10">
        <v>-2.0000000000000053</v>
      </c>
      <c r="AL59" s="10">
        <f>+'[6]financial profile(mcso)'!$I$64</f>
        <v>-0.91857906318767268</v>
      </c>
      <c r="AM59" s="10">
        <f>AK59-AL59</f>
        <v>-1.0814209368123326</v>
      </c>
      <c r="AN59" s="9">
        <f>AM59/AL59*100</f>
        <v>117.72758384668191</v>
      </c>
      <c r="AO59" s="10"/>
      <c r="AP59" s="17">
        <f>+'[5]financial profile(mcso)'!$I$65</f>
        <v>-0.20834752229651995</v>
      </c>
      <c r="AQ59" s="17">
        <v>-0.17978706737881256</v>
      </c>
      <c r="AR59" s="10">
        <f>AP59-AQ59</f>
        <v>-2.8560454917707395E-2</v>
      </c>
      <c r="AS59" s="9">
        <f>AR59/AQ59*100</f>
        <v>15.885711544273828</v>
      </c>
    </row>
    <row r="60" spans="1:58" s="12" customFormat="1" ht="14.25" customHeight="1" x14ac:dyDescent="0.25">
      <c r="A60" s="19" t="s">
        <v>59</v>
      </c>
      <c r="B60" s="9">
        <f>+'[5]financial profile(mcso)'!$F$57</f>
        <v>0</v>
      </c>
      <c r="C60" s="9">
        <f>+'[6]financial profile(mcso)'!$F$57</f>
        <v>0</v>
      </c>
      <c r="D60" s="9">
        <f>B60-C60</f>
        <v>0</v>
      </c>
      <c r="E60" s="9"/>
      <c r="F60" s="9"/>
      <c r="G60" s="11">
        <f>+'[5]financial profile(mcso)'!$F$58</f>
        <v>-1.2024299999975483</v>
      </c>
      <c r="H60" s="11">
        <f>+'[6]financial profile(mcso)'!$F$58</f>
        <v>-1.2024300000011863</v>
      </c>
      <c r="I60" s="9">
        <f>G60-H60</f>
        <v>3.637978807091713E-12</v>
      </c>
      <c r="J60" s="9">
        <f>I60/H60*100</f>
        <v>-3.0255223232022855E-10</v>
      </c>
      <c r="K60" s="9"/>
      <c r="L60" s="11">
        <f>+'[5]financial profile(mcso)'!$F$59</f>
        <v>-2957.9530000000086</v>
      </c>
      <c r="M60" s="11">
        <f>+'[6]financial profile(mcso)'!$F$59</f>
        <v>-1802.1774299999815</v>
      </c>
      <c r="N60" s="9">
        <f>L60-M60</f>
        <v>-1155.7755700000271</v>
      </c>
      <c r="O60" s="9">
        <f>N60/M60*100</f>
        <v>64.132174266550379</v>
      </c>
      <c r="P60" s="9"/>
      <c r="Q60" s="11">
        <f>+'[5]financial profile(mcso)'!$F$60</f>
        <v>-4.3399999849498272E-3</v>
      </c>
      <c r="R60" s="11">
        <f>+'[6]financial profile(mcso)'!$F$60</f>
        <v>-4.3399999849498272E-3</v>
      </c>
      <c r="S60" s="9">
        <f>Q60-R60</f>
        <v>0</v>
      </c>
      <c r="T60" s="9">
        <f>S60/R60*100</f>
        <v>0</v>
      </c>
      <c r="U60" s="9"/>
      <c r="V60" s="9">
        <f>+'[5]financial profile(mcso)'!$F$61</f>
        <v>-1086.9098500000546</v>
      </c>
      <c r="W60" s="9">
        <f>+'[6]financial profile(mcso)'!$F$61</f>
        <v>-1402.0148500000359</v>
      </c>
      <c r="X60" s="9">
        <f>V60-W60</f>
        <v>315.10499999998137</v>
      </c>
      <c r="Y60" s="9">
        <f>X60/W60*100</f>
        <v>-22.475154239626868</v>
      </c>
      <c r="Z60" s="9"/>
      <c r="AA60" s="9">
        <f>+'[5]financial profile(mcso)'!$F$62</f>
        <v>-6.4780699999996614</v>
      </c>
      <c r="AB60" s="9">
        <f>+'[6]financial profile(mcso)'!$F$62</f>
        <v>-6.4780699999996614</v>
      </c>
      <c r="AC60" s="9">
        <f>AA60-AB60</f>
        <v>0</v>
      </c>
      <c r="AD60" s="9">
        <f>AC60/AB60*100</f>
        <v>0</v>
      </c>
      <c r="AE60" s="9"/>
      <c r="AF60" s="9">
        <f>+'[5]financial profile(mcso)'!$F$63</f>
        <v>-180.75424999999814</v>
      </c>
      <c r="AG60" s="9">
        <f>+'[6]financial profile(mcso)'!$F$63</f>
        <v>-180.75424999999814</v>
      </c>
      <c r="AH60" s="9">
        <f>AF60-AG60</f>
        <v>0</v>
      </c>
      <c r="AI60" s="9">
        <f>AH60/AG60*100</f>
        <v>0</v>
      </c>
      <c r="AJ60" s="9"/>
      <c r="AK60" s="9">
        <v>-1571.4140000000043</v>
      </c>
      <c r="AL60" s="9">
        <f>+'[6]financial profile(mcso)'!$F$64</f>
        <v>-721.73399999999674</v>
      </c>
      <c r="AM60" s="9">
        <f>AK60-AL60</f>
        <v>-849.68000000000757</v>
      </c>
      <c r="AN60" s="9">
        <f>AM60/AL60*100</f>
        <v>117.72758384668194</v>
      </c>
      <c r="AO60" s="9"/>
      <c r="AP60" s="9">
        <f>B60+G60+L60+Q60+V60+AA60+AF60+AK60</f>
        <v>-5804.7159400000473</v>
      </c>
      <c r="AQ60" s="9">
        <f>C60+H60+M60+R60+W60+AB60+AG60+AL60</f>
        <v>-4114.3653699999977</v>
      </c>
      <c r="AR60" s="9">
        <f>AP60-AQ60</f>
        <v>-1690.3505700000496</v>
      </c>
      <c r="AS60" s="9">
        <f>AR60/AQ60*100</f>
        <v>41.084114267665313</v>
      </c>
    </row>
    <row r="61" spans="1:58" s="12" customFormat="1" ht="14.25" customHeight="1" x14ac:dyDescent="0.25">
      <c r="A61" s="8" t="s">
        <v>60</v>
      </c>
      <c r="B61" s="9">
        <f>+'[5]financial profile(mcso)'!$K$57</f>
        <v>10826.703</v>
      </c>
      <c r="C61" s="9">
        <f>+'[6]financial profile(mcso)'!$K$57</f>
        <v>13000</v>
      </c>
      <c r="D61" s="9">
        <f>B61-C61</f>
        <v>-2173.2970000000005</v>
      </c>
      <c r="E61" s="9">
        <f>D61/C61*100</f>
        <v>-16.717669230769232</v>
      </c>
      <c r="F61" s="9"/>
      <c r="G61" s="11">
        <f>+'[5]financial profile(mcso)'!$K$58</f>
        <v>13119.856470000001</v>
      </c>
      <c r="H61" s="11">
        <f>+'[6]financial profile(mcso)'!$K$58</f>
        <v>14617.26647</v>
      </c>
      <c r="I61" s="9">
        <f>G61-H61</f>
        <v>-1497.4099999999999</v>
      </c>
      <c r="J61" s="9">
        <f>I61/H61*100</f>
        <v>-10.244117825129857</v>
      </c>
      <c r="K61" s="9"/>
      <c r="L61" s="11">
        <f>+'[5]financial profile(mcso)'!$K$59</f>
        <v>43761.491719999998</v>
      </c>
      <c r="M61" s="11">
        <f>+'[6]financial profile(mcso)'!$K$59</f>
        <v>53666.122289999999</v>
      </c>
      <c r="N61" s="9">
        <f>L61-M61</f>
        <v>-9904.6305700000012</v>
      </c>
      <c r="O61" s="9">
        <f>N61/M61*100</f>
        <v>-18.456020571930914</v>
      </c>
      <c r="P61" s="9"/>
      <c r="Q61" s="11">
        <f>+'[5]financial profile(mcso)'!$K$60</f>
        <v>150221.88644</v>
      </c>
      <c r="R61" s="11">
        <f>+'[6]financial profile(mcso)'!$K$60</f>
        <v>108547.33779000001</v>
      </c>
      <c r="S61" s="9">
        <f>Q61-R61</f>
        <v>41674.548649999997</v>
      </c>
      <c r="T61" s="9">
        <f>S61/R61*100</f>
        <v>38.392971673451115</v>
      </c>
      <c r="U61" s="9"/>
      <c r="V61" s="9">
        <f>+'[5]financial profile(mcso)'!$K$61</f>
        <v>159662.78868999999</v>
      </c>
      <c r="W61" s="9">
        <f>+'[6]financial profile(mcso)'!$K$61</f>
        <v>161469.07569</v>
      </c>
      <c r="X61" s="9">
        <f>V61-W61</f>
        <v>-1806.2870000000112</v>
      </c>
      <c r="Y61" s="9">
        <f>X61/W61*100</f>
        <v>-1.1186581655225745</v>
      </c>
      <c r="Z61" s="9"/>
      <c r="AA61" s="9">
        <f>+'[5]financial profile(mcso)'!$K$62</f>
        <v>18584.01252</v>
      </c>
      <c r="AB61" s="9">
        <f>+'[6]financial profile(mcso)'!$K$62</f>
        <v>18584.01252</v>
      </c>
      <c r="AC61" s="9">
        <f>AA61-AB61</f>
        <v>0</v>
      </c>
      <c r="AD61" s="9">
        <f>AC61/AB61*100</f>
        <v>0</v>
      </c>
      <c r="AE61" s="9"/>
      <c r="AF61" s="9">
        <f>+'[5]financial profile(mcso)'!$K$63</f>
        <v>23165.322039999999</v>
      </c>
      <c r="AG61" s="9">
        <f>+'[6]financial profile(mcso)'!$K$63</f>
        <v>27402.529039999998</v>
      </c>
      <c r="AH61" s="9">
        <f>AF61-AG61</f>
        <v>-4237.2069999999985</v>
      </c>
      <c r="AI61" s="9">
        <f>AH61/AG61*100</f>
        <v>-15.462831893417087</v>
      </c>
      <c r="AJ61" s="9"/>
      <c r="AK61" s="9">
        <v>1825.65581</v>
      </c>
      <c r="AL61" s="9">
        <f>+'[6]financial profile(mcso)'!$K$64</f>
        <v>5437.6778099999992</v>
      </c>
      <c r="AM61" s="9">
        <f>AK61-AL61</f>
        <v>-3612.021999999999</v>
      </c>
      <c r="AN61" s="9">
        <f>AM61/AL61*100</f>
        <v>-66.425818634517427</v>
      </c>
      <c r="AO61" s="9"/>
      <c r="AP61" s="9">
        <f>B61+G61+L61+Q61+V61+AA61+AF61+AK61</f>
        <v>421167.71669000003</v>
      </c>
      <c r="AQ61" s="9">
        <f>C61+H61+M61+R61+W61+AB61+AG61+AL61</f>
        <v>402724.02161</v>
      </c>
      <c r="AR61" s="9">
        <f>AP61-AQ61</f>
        <v>18443.695080000034</v>
      </c>
      <c r="AS61" s="9">
        <f>AR61/AQ61*100</f>
        <v>4.579735523663647</v>
      </c>
    </row>
    <row r="62" spans="1:58" ht="15" customHeight="1" x14ac:dyDescent="0.25">
      <c r="B62" s="13"/>
      <c r="C62" s="13"/>
      <c r="D62" s="13"/>
      <c r="E62" s="9"/>
      <c r="F62" s="9"/>
      <c r="G62" s="13"/>
      <c r="H62" s="13"/>
      <c r="I62" s="13"/>
      <c r="J62" s="9"/>
      <c r="K62" s="13"/>
      <c r="L62" s="13"/>
      <c r="M62" s="13"/>
      <c r="N62" s="13"/>
      <c r="O62" s="9"/>
      <c r="P62" s="13"/>
      <c r="Q62" s="13"/>
      <c r="R62" s="13"/>
      <c r="S62" s="13"/>
      <c r="T62" s="9"/>
      <c r="U62" s="13"/>
      <c r="V62" s="13"/>
      <c r="W62" s="13"/>
      <c r="X62" s="13"/>
      <c r="Y62" s="9"/>
      <c r="Z62" s="13"/>
      <c r="AA62" s="13"/>
      <c r="AB62" s="13"/>
      <c r="AC62" s="13"/>
      <c r="AD62" s="9"/>
      <c r="AE62" s="13"/>
      <c r="AF62" s="13"/>
      <c r="AG62" s="13"/>
      <c r="AH62" s="13"/>
      <c r="AI62" s="9"/>
      <c r="AJ62" s="13"/>
      <c r="AK62" s="13"/>
      <c r="AL62" s="13"/>
      <c r="AM62" s="13"/>
      <c r="AN62" s="9"/>
      <c r="AO62" s="13"/>
      <c r="AP62" s="15"/>
      <c r="AQ62" s="15"/>
      <c r="AR62" s="15"/>
      <c r="AS62" s="11"/>
    </row>
    <row r="63" spans="1:58" ht="12.75" customHeight="1" x14ac:dyDescent="0.3">
      <c r="A63" s="1" t="s">
        <v>61</v>
      </c>
      <c r="B63" s="13"/>
      <c r="C63" s="13"/>
      <c r="D63" s="13"/>
      <c r="E63" s="9"/>
      <c r="F63" s="9"/>
      <c r="G63" s="13"/>
      <c r="H63" s="13"/>
      <c r="I63" s="13"/>
      <c r="J63" s="9"/>
      <c r="K63" s="13"/>
      <c r="L63" s="13"/>
      <c r="M63" s="13"/>
      <c r="N63" s="13"/>
      <c r="O63" s="9"/>
      <c r="P63" s="13"/>
      <c r="Q63" s="13"/>
      <c r="R63" s="13"/>
      <c r="S63" s="13"/>
      <c r="T63" s="9"/>
      <c r="U63" s="13"/>
      <c r="V63" s="20"/>
      <c r="W63" s="20"/>
      <c r="X63" s="13"/>
      <c r="Y63" s="9"/>
      <c r="Z63" s="13"/>
      <c r="AA63" s="13"/>
      <c r="AB63" s="13"/>
      <c r="AC63" s="13"/>
      <c r="AD63" s="9"/>
      <c r="AE63" s="13"/>
      <c r="AF63" s="13"/>
      <c r="AG63" s="13"/>
      <c r="AH63" s="13"/>
      <c r="AI63" s="9"/>
      <c r="AJ63" s="13"/>
      <c r="AK63" s="13"/>
      <c r="AL63" s="13"/>
      <c r="AM63" s="13"/>
      <c r="AN63" s="9"/>
      <c r="AO63" s="13"/>
      <c r="AP63" s="15"/>
      <c r="AQ63" s="15"/>
      <c r="AR63" s="15"/>
      <c r="AS63" s="11"/>
    </row>
    <row r="64" spans="1:58" x14ac:dyDescent="0.25">
      <c r="B64" s="13"/>
      <c r="C64" s="13"/>
      <c r="D64" s="13"/>
      <c r="E64" s="9"/>
      <c r="F64" s="9"/>
      <c r="G64" s="13"/>
      <c r="H64" s="13"/>
      <c r="I64" s="13"/>
      <c r="J64" s="9"/>
      <c r="K64" s="13"/>
      <c r="L64" s="13"/>
      <c r="M64" s="13"/>
      <c r="N64" s="13"/>
      <c r="O64" s="9"/>
      <c r="P64" s="13"/>
      <c r="Q64" s="13"/>
      <c r="R64" s="13"/>
      <c r="S64" s="13"/>
      <c r="T64" s="9"/>
      <c r="U64" s="13"/>
      <c r="V64" s="13"/>
      <c r="W64" s="13"/>
      <c r="X64" s="13"/>
      <c r="Y64" s="9"/>
      <c r="Z64" s="13"/>
      <c r="AA64" s="13"/>
      <c r="AB64" s="13"/>
      <c r="AC64" s="13"/>
      <c r="AD64" s="9"/>
      <c r="AE64" s="13"/>
      <c r="AF64" s="13"/>
      <c r="AG64" s="13"/>
      <c r="AH64" s="13"/>
      <c r="AI64" s="9"/>
      <c r="AJ64" s="13"/>
      <c r="AK64" s="13"/>
      <c r="AL64" s="13"/>
      <c r="AM64" s="13"/>
      <c r="AN64" s="9"/>
      <c r="AO64" s="13"/>
      <c r="AP64" s="15"/>
      <c r="AQ64" s="15"/>
      <c r="AR64" s="15"/>
      <c r="AS64" s="11"/>
    </row>
    <row r="65" spans="1:45" s="12" customFormat="1" ht="15" customHeight="1" x14ac:dyDescent="0.25">
      <c r="A65" s="8" t="s">
        <v>62</v>
      </c>
      <c r="B65" s="9">
        <f>VLOOKUP(A65,'[7]REG4 (MIMAROPA)'!$A$65:$AN$77,2,FALSE)</f>
        <v>23569.723670000003</v>
      </c>
      <c r="C65" s="9"/>
      <c r="D65" s="9">
        <f>B65-C65</f>
        <v>23569.723670000003</v>
      </c>
      <c r="E65" s="9">
        <f>IFERROR(D65/C65*100,0)</f>
        <v>0</v>
      </c>
      <c r="F65" s="9"/>
      <c r="G65" s="9">
        <f>VLOOKUP(A65,'[7]REG4 (MIMAROPA)'!$A$65:$AN$77,7,FALSE)</f>
        <v>3124.7370000000001</v>
      </c>
      <c r="H65" s="9">
        <v>3127.9079999999999</v>
      </c>
      <c r="I65" s="9">
        <f>G65-H65</f>
        <v>-3.1709999999998217</v>
      </c>
      <c r="J65" s="9">
        <f>I65/H65*100</f>
        <v>-0.10137766200284093</v>
      </c>
      <c r="K65" s="9"/>
      <c r="L65" s="9">
        <f>VLOOKUP(A65,'[7]REG4 (MIMAROPA)'!$A$65:$AN$77,12,FALSE)</f>
        <v>38436.603199999998</v>
      </c>
      <c r="M65" s="9">
        <v>36689.496200000001</v>
      </c>
      <c r="N65" s="9">
        <f>L65-M65</f>
        <v>1747.1069999999963</v>
      </c>
      <c r="O65" s="9">
        <f>N65/M65*100</f>
        <v>4.7618724184062149</v>
      </c>
      <c r="P65" s="9"/>
      <c r="Q65" s="9">
        <f>VLOOKUP(A65,'[7]REG4 (MIMAROPA)'!$A$65:$AN$77,17,FALSE)</f>
        <v>70692.879599999957</v>
      </c>
      <c r="R65" s="9">
        <v>75856.615000000005</v>
      </c>
      <c r="S65" s="9">
        <f>Q65-R65</f>
        <v>-5163.7354000000487</v>
      </c>
      <c r="T65" s="9">
        <f>S65/R65*100</f>
        <v>-6.8072315117146314</v>
      </c>
      <c r="U65" s="9"/>
      <c r="V65" s="9">
        <f>VLOOKUP(A65,'[7]REG4 (MIMAROPA)'!$A$65:$AN$77,22,FALSE)</f>
        <v>201258.81095811498</v>
      </c>
      <c r="W65" s="9">
        <v>185731.09575000001</v>
      </c>
      <c r="X65" s="9">
        <f>V65-W65</f>
        <v>15527.715208114969</v>
      </c>
      <c r="Y65" s="9">
        <f>X65/W65*100</f>
        <v>8.3603206805045556</v>
      </c>
      <c r="Z65" s="9"/>
      <c r="AA65" s="9">
        <f>VLOOKUP(A65,'[7]REG4 (MIMAROPA)'!$A$65:$AN$77,27,FALSE)</f>
        <v>206401.88662</v>
      </c>
      <c r="AB65" s="9">
        <v>189660.20546</v>
      </c>
      <c r="AC65" s="9">
        <f>AA65-AB65</f>
        <v>16741.681160000007</v>
      </c>
      <c r="AD65" s="9">
        <f>AC65/AB65*100</f>
        <v>8.8271976292522183</v>
      </c>
      <c r="AE65" s="9"/>
      <c r="AF65" s="9">
        <f>VLOOKUP(A65,'[7]REG4 (MIMAROPA)'!$A$65:$AN$77,32,FALSE)</f>
        <v>16624.608799999998</v>
      </c>
      <c r="AG65" s="9">
        <v>16057.6276</v>
      </c>
      <c r="AH65" s="9">
        <f>AF65-AG65</f>
        <v>566.98119999999835</v>
      </c>
      <c r="AI65" s="9">
        <f>AH65/AG65*100</f>
        <v>3.5309151147582867</v>
      </c>
      <c r="AJ65" s="9"/>
      <c r="AK65" s="9">
        <f>VLOOKUP(A65,'[7]REG4 (MIMAROPA)'!$A$65:$AN$77,37,FALSE)</f>
        <v>30876.927899999999</v>
      </c>
      <c r="AL65" s="9">
        <v>28742.790300000001</v>
      </c>
      <c r="AM65" s="9">
        <f>IFERROR(AK65-AL65,0)</f>
        <v>2134.1375999999982</v>
      </c>
      <c r="AN65" s="9">
        <f>AM65/AL65*100</f>
        <v>7.4249492750187107</v>
      </c>
      <c r="AO65" s="9"/>
      <c r="AP65" s="9">
        <f t="shared" ref="AP65:AQ67" si="46">B65+G65+L65+Q65+V65+AA65+AF65+AK65</f>
        <v>590986.17774811503</v>
      </c>
      <c r="AQ65" s="9">
        <f t="shared" si="46"/>
        <v>535865.73831000004</v>
      </c>
      <c r="AR65" s="11">
        <f>AP65-AQ65</f>
        <v>55120.43943811499</v>
      </c>
      <c r="AS65" s="11">
        <f>AR65/AQ65*100</f>
        <v>10.286240656466012</v>
      </c>
    </row>
    <row r="66" spans="1:45" s="12" customFormat="1" ht="15" customHeight="1" x14ac:dyDescent="0.25">
      <c r="A66" s="8" t="s">
        <v>63</v>
      </c>
      <c r="B66" s="9">
        <f>VLOOKUP(A66,'[7]REG4 (MIMAROPA)'!$A$65:$AN$77,2,FALSE)</f>
        <v>20997.458760000001</v>
      </c>
      <c r="C66" s="9"/>
      <c r="D66" s="9">
        <f>B66-C66</f>
        <v>20997.458760000001</v>
      </c>
      <c r="E66" s="9">
        <f t="shared" ref="E66:E67" si="47">IFERROR(D66/C66*100,0)</f>
        <v>0</v>
      </c>
      <c r="F66" s="9"/>
      <c r="G66" s="9">
        <f>VLOOKUP(A66,'[7]REG4 (MIMAROPA)'!$A$65:$AN$77,7,FALSE)</f>
        <v>2893.2111999999997</v>
      </c>
      <c r="H66" s="9">
        <v>2842.1504</v>
      </c>
      <c r="I66" s="9">
        <f>G66-H66</f>
        <v>51.060799999999745</v>
      </c>
      <c r="J66" s="9">
        <f>I66/H66*100</f>
        <v>1.7965551717460042</v>
      </c>
      <c r="K66" s="9"/>
      <c r="L66" s="9">
        <f>VLOOKUP(A66,'[7]REG4 (MIMAROPA)'!$A$65:$AN$77,12,FALSE)</f>
        <v>34762.925779999998</v>
      </c>
      <c r="M66" s="9">
        <v>33412.17211</v>
      </c>
      <c r="N66" s="9">
        <f>L66-M66</f>
        <v>1350.7536699999982</v>
      </c>
      <c r="O66" s="9">
        <f>N66/M66*100</f>
        <v>4.0426993658270067</v>
      </c>
      <c r="P66" s="9"/>
      <c r="Q66" s="9">
        <f>VLOOKUP(A66,'[7]REG4 (MIMAROPA)'!$A$65:$AN$77,17,FALSE)</f>
        <v>61237.338520000005</v>
      </c>
      <c r="R66" s="9">
        <v>66085.676900000006</v>
      </c>
      <c r="S66" s="9">
        <f>Q66-R66</f>
        <v>-4848.3383800000011</v>
      </c>
      <c r="T66" s="9">
        <f>S66/R66*100</f>
        <v>-7.3364435493888394</v>
      </c>
      <c r="U66" s="9"/>
      <c r="V66" s="9">
        <f>VLOOKUP(A66,'[7]REG4 (MIMAROPA)'!$A$65:$AN$77,22,FALSE)</f>
        <v>180729.56107999998</v>
      </c>
      <c r="W66" s="9">
        <v>164425.21156</v>
      </c>
      <c r="X66" s="9">
        <f>V66-W66</f>
        <v>16304.349519999989</v>
      </c>
      <c r="Y66" s="9">
        <f>X66/W66*100</f>
        <v>9.91596687959888</v>
      </c>
      <c r="Z66" s="9"/>
      <c r="AA66" s="9">
        <f>VLOOKUP(A66,'[7]REG4 (MIMAROPA)'!$A$65:$AN$77,27,FALSE)</f>
        <v>188933.59913999998</v>
      </c>
      <c r="AB66" s="9">
        <v>165898.67494</v>
      </c>
      <c r="AC66" s="9">
        <f>AA66-AB66</f>
        <v>23034.924199999979</v>
      </c>
      <c r="AD66" s="9">
        <f>AC66/AB66*100</f>
        <v>13.884935614061378</v>
      </c>
      <c r="AE66" s="9"/>
      <c r="AF66" s="9">
        <f>VLOOKUP(A66,'[7]REG4 (MIMAROPA)'!$A$65:$AN$77,32,FALSE)</f>
        <v>14970.786</v>
      </c>
      <c r="AG66" s="9">
        <v>14222.572</v>
      </c>
      <c r="AH66" s="9">
        <f>AF66-AG66</f>
        <v>748.21399999999994</v>
      </c>
      <c r="AI66" s="9">
        <f>AH66/AG66*100</f>
        <v>5.2607503059221639</v>
      </c>
      <c r="AJ66" s="9"/>
      <c r="AK66" s="9">
        <f>VLOOKUP(A66,'[7]REG4 (MIMAROPA)'!$A$65:$AN$77,37,FALSE)</f>
        <v>28161.411050000006</v>
      </c>
      <c r="AL66" s="9">
        <v>26132.671770000001</v>
      </c>
      <c r="AM66" s="9">
        <f>IFERROR(AK66-AL66,0)</f>
        <v>2028.7392800000052</v>
      </c>
      <c r="AN66" s="9">
        <f>AM66/AL66*100</f>
        <v>7.7632294847439747</v>
      </c>
      <c r="AO66" s="9"/>
      <c r="AP66" s="9">
        <f>B66+G66+L66+Q66+V66+AA66+AF66+AK66</f>
        <v>532686.29153000005</v>
      </c>
      <c r="AQ66" s="9">
        <f t="shared" si="46"/>
        <v>473019.12968000001</v>
      </c>
      <c r="AR66" s="11">
        <f>AP66-AQ66</f>
        <v>59667.161850000033</v>
      </c>
      <c r="AS66" s="11">
        <f>AR66/AQ66*100</f>
        <v>12.614111799318811</v>
      </c>
    </row>
    <row r="67" spans="1:45" s="12" customFormat="1" ht="15" customHeight="1" x14ac:dyDescent="0.25">
      <c r="A67" s="8" t="s">
        <v>64</v>
      </c>
      <c r="B67" s="9">
        <f>VLOOKUP(A67,'[7]REG4 (MIMAROPA)'!$A$65:$AN$77,2,FALSE)</f>
        <v>126.636</v>
      </c>
      <c r="C67" s="9"/>
      <c r="D67" s="9">
        <f>B67-C67</f>
        <v>126.636</v>
      </c>
      <c r="E67" s="9">
        <f t="shared" si="47"/>
        <v>0</v>
      </c>
      <c r="F67" s="9"/>
      <c r="G67" s="9">
        <f>VLOOKUP(A67,'[7]REG4 (MIMAROPA)'!$A$65:$AN$77,7,FALSE)</f>
        <v>7.9206000000000003</v>
      </c>
      <c r="H67" s="9">
        <v>7.5235000000000003</v>
      </c>
      <c r="I67" s="9">
        <f>G67-H67</f>
        <v>0.39710000000000001</v>
      </c>
      <c r="J67" s="9">
        <f>I67/H67*100</f>
        <v>5.278128530604107</v>
      </c>
      <c r="K67" s="9"/>
      <c r="L67" s="9">
        <f>VLOOKUP(A67,'[7]REG4 (MIMAROPA)'!$A$65:$AN$77,12,FALSE)</f>
        <v>85.599299999999999</v>
      </c>
      <c r="M67" s="9">
        <v>91.755179999999996</v>
      </c>
      <c r="N67" s="9">
        <f>L67-M67</f>
        <v>-6.1558799999999962</v>
      </c>
      <c r="O67" s="9">
        <f>N67/M67*100</f>
        <v>-6.7090272178638815</v>
      </c>
      <c r="P67" s="9"/>
      <c r="Q67" s="9">
        <f>VLOOKUP(A67,'[7]REG4 (MIMAROPA)'!$A$65:$AN$77,17,FALSE)</f>
        <v>122.71740000000001</v>
      </c>
      <c r="R67" s="9">
        <v>119.7657</v>
      </c>
      <c r="S67" s="9">
        <f>Q67-R67</f>
        <v>2.9517000000000166</v>
      </c>
      <c r="T67" s="9">
        <f>S67/R67*100</f>
        <v>2.4645620574171212</v>
      </c>
      <c r="U67" s="9"/>
      <c r="V67" s="9">
        <f>VLOOKUP(A67,'[7]REG4 (MIMAROPA)'!$A$65:$AN$77,22,FALSE)</f>
        <v>300.71669000000003</v>
      </c>
      <c r="W67" s="9">
        <v>288.00468000000001</v>
      </c>
      <c r="X67" s="9">
        <f>V67-W67</f>
        <v>12.712010000000021</v>
      </c>
      <c r="Y67" s="9">
        <f>X67/W67*100</f>
        <v>4.4138206365257746</v>
      </c>
      <c r="Z67" s="9"/>
      <c r="AA67" s="9">
        <f>VLOOKUP(A67,'[7]REG4 (MIMAROPA)'!$A$65:$AN$77,27,FALSE)</f>
        <v>205.90700000000001</v>
      </c>
      <c r="AB67" s="9">
        <v>202.524</v>
      </c>
      <c r="AC67" s="9">
        <f>AA67-AB67</f>
        <v>3.3830000000000098</v>
      </c>
      <c r="AD67" s="9">
        <f>AC67/AB67*100</f>
        <v>1.6704193083288941</v>
      </c>
      <c r="AE67" s="9"/>
      <c r="AF67" s="9">
        <f>VLOOKUP(A67,'[7]REG4 (MIMAROPA)'!$A$65:$AN$77,32,FALSE)</f>
        <v>51.847000000000001</v>
      </c>
      <c r="AG67" s="9">
        <v>32.917000000000002</v>
      </c>
      <c r="AH67" s="9">
        <f>AF67-AG67</f>
        <v>18.93</v>
      </c>
      <c r="AI67" s="9">
        <f>AH67/AG67*100</f>
        <v>57.508278397180788</v>
      </c>
      <c r="AJ67" s="9"/>
      <c r="AK67" s="9">
        <f>VLOOKUP(A67,'[7]REG4 (MIMAROPA)'!$A$65:$AN$77,37,FALSE)</f>
        <v>43.957000000000001</v>
      </c>
      <c r="AL67" s="9">
        <v>44.008000000000003</v>
      </c>
      <c r="AM67" s="9">
        <f>IFERROR(AK67-AL67,0)</f>
        <v>-5.1000000000001933E-2</v>
      </c>
      <c r="AN67" s="9">
        <f>AM67/AL67*100</f>
        <v>-0.11588802035993895</v>
      </c>
      <c r="AO67" s="9"/>
      <c r="AP67" s="9">
        <f t="shared" si="46"/>
        <v>945.30099000000007</v>
      </c>
      <c r="AQ67" s="9">
        <f t="shared" si="46"/>
        <v>786.49806000000001</v>
      </c>
      <c r="AR67" s="11">
        <f>AP67-AQ67</f>
        <v>158.80293000000006</v>
      </c>
      <c r="AS67" s="11">
        <f>AR67/AQ67*100</f>
        <v>20.191140713048938</v>
      </c>
    </row>
    <row r="68" spans="1:45" s="18" customFormat="1" ht="15" customHeight="1" x14ac:dyDescent="0.25">
      <c r="A68" s="22" t="s">
        <v>65</v>
      </c>
      <c r="B68" s="10">
        <f>(B65-B66-B67)/B65*100</f>
        <v>10.376145873584615</v>
      </c>
      <c r="C68" s="10"/>
      <c r="D68" s="10"/>
      <c r="E68" s="10">
        <f>B68-C68</f>
        <v>10.376145873584615</v>
      </c>
      <c r="F68" s="10"/>
      <c r="G68" s="10">
        <f>(G65-G66-G67)/G65*100</f>
        <v>7.155968646321285</v>
      </c>
      <c r="H68" s="10">
        <f>(H65-H66-H67)/H65*100</f>
        <v>8.8952136699672728</v>
      </c>
      <c r="I68" s="10"/>
      <c r="J68" s="10">
        <f>G68-H68</f>
        <v>-1.7392450236459878</v>
      </c>
      <c r="K68" s="10"/>
      <c r="L68" s="10">
        <f>(L65-L66-L67)/L65*100</f>
        <v>9.335055185105432</v>
      </c>
      <c r="M68" s="10">
        <f>(M65-M66-M67)/M65*100</f>
        <v>8.6825092735942277</v>
      </c>
      <c r="N68" s="10"/>
      <c r="O68" s="10">
        <f>L68-M68</f>
        <v>0.65254591151120422</v>
      </c>
      <c r="P68" s="10"/>
      <c r="Q68" s="10">
        <f>(Q65-Q66-Q67)/Q65*100</f>
        <v>13.201928868660708</v>
      </c>
      <c r="R68" s="10">
        <f>(R65-R66-R67)/R65*100</f>
        <v>12.722914672635996</v>
      </c>
      <c r="S68" s="10"/>
      <c r="T68" s="10">
        <f>Q68-R68</f>
        <v>0.47901419602471229</v>
      </c>
      <c r="U68" s="10"/>
      <c r="V68" s="10">
        <f>(V65-V66-V67)/V65*100</f>
        <v>10.051005017775275</v>
      </c>
      <c r="W68" s="10">
        <f>(W65-W66-W67)/W65*100</f>
        <v>11.316295435143909</v>
      </c>
      <c r="X68" s="10"/>
      <c r="Y68" s="10">
        <f>V68-W68</f>
        <v>-1.2652904173686341</v>
      </c>
      <c r="Z68" s="10"/>
      <c r="AA68" s="10">
        <f>SUM(AA65-AA66-AA67)/AA65*100</f>
        <v>8.3634799868768894</v>
      </c>
      <c r="AB68" s="10">
        <f>SUM(AB65-AB66-AB67)/AB65*100</f>
        <v>12.421691974265354</v>
      </c>
      <c r="AC68" s="10"/>
      <c r="AD68" s="10">
        <f>AA68-AB68</f>
        <v>-4.0582119873884643</v>
      </c>
      <c r="AE68" s="10"/>
      <c r="AF68" s="10">
        <f>(AF65-AF66-AF67)/AF65*100</f>
        <v>9.6361714087371393</v>
      </c>
      <c r="AG68" s="10">
        <f>(AG65-AG66-AG67)/AG65*100</f>
        <v>11.222944290973592</v>
      </c>
      <c r="AH68" s="10"/>
      <c r="AI68" s="10">
        <f>AF68-AG68</f>
        <v>-1.5867728822364526</v>
      </c>
      <c r="AJ68" s="10"/>
      <c r="AK68" s="10">
        <f>(AK65-AK66-AK67)/AK65*100</f>
        <v>8.6522851582005753</v>
      </c>
      <c r="AL68" s="10">
        <f>(AL65-AL66-AL67)/AL65*100</f>
        <v>8.9278406974983202</v>
      </c>
      <c r="AM68" s="10"/>
      <c r="AN68" s="10">
        <f>IFERROR(AK68-AL68,0)</f>
        <v>-0.2755555392977449</v>
      </c>
      <c r="AO68" s="10"/>
      <c r="AP68" s="10">
        <f>(AP65-AP66-AP67)/AP65*100</f>
        <v>9.7048945284402492</v>
      </c>
      <c r="AQ68" s="10">
        <f>(AQ65-AQ66-AQ67)/AQ65*100</f>
        <v>11.581279811940142</v>
      </c>
      <c r="AR68" s="17"/>
      <c r="AS68" s="17">
        <f>AP68-AQ68</f>
        <v>-1.8763852834998929</v>
      </c>
    </row>
    <row r="69" spans="1:45" s="18" customFormat="1" ht="15" customHeight="1" x14ac:dyDescent="0.25">
      <c r="A69" s="22" t="s">
        <v>66</v>
      </c>
      <c r="B69" s="10">
        <f>B13/(B66+B67)</f>
        <v>11.326426138414085</v>
      </c>
      <c r="C69" s="10"/>
      <c r="D69" s="10">
        <f>B69-C69</f>
        <v>11.326426138414085</v>
      </c>
      <c r="E69" s="9">
        <f t="shared" ref="E69:E70" si="48">IFERROR(D69/C69*100,0)</f>
        <v>0</v>
      </c>
      <c r="F69" s="9"/>
      <c r="G69" s="10">
        <f>G13/(G66+G67)</f>
        <v>13.545844308073148</v>
      </c>
      <c r="H69" s="10">
        <f>H13/(H66+H67)</f>
        <v>12.8923684741612</v>
      </c>
      <c r="I69" s="10">
        <f>G69-H69</f>
        <v>0.65347583391194775</v>
      </c>
      <c r="J69" s="9">
        <f>I69/H69*100</f>
        <v>5.0687027385359</v>
      </c>
      <c r="K69" s="10"/>
      <c r="L69" s="10">
        <f>L13/(L66+L67)</f>
        <v>10.245943785291471</v>
      </c>
      <c r="M69" s="10">
        <f>M13/(M66+M67)</f>
        <v>9.4501474349397085</v>
      </c>
      <c r="N69" s="10">
        <f>L69-M69</f>
        <v>0.79579635035176288</v>
      </c>
      <c r="O69" s="9">
        <f>N69/M69*100</f>
        <v>8.4209940197281181</v>
      </c>
      <c r="P69" s="10"/>
      <c r="Q69" s="10">
        <f>Q13/(Q66+Q67)</f>
        <v>10.970992386768348</v>
      </c>
      <c r="R69" s="10">
        <f>R13/(R66+R67)</f>
        <v>10.009163698272744</v>
      </c>
      <c r="S69" s="10">
        <f>Q69-R69</f>
        <v>0.96182868849560421</v>
      </c>
      <c r="T69" s="9">
        <f>S69/R69*100</f>
        <v>9.609481046469293</v>
      </c>
      <c r="U69" s="10"/>
      <c r="V69" s="10">
        <f>V13/(V66+V67)</f>
        <v>11.049027597920809</v>
      </c>
      <c r="W69" s="10">
        <f>W13/(W66+W67)</f>
        <v>10.626518901614036</v>
      </c>
      <c r="X69" s="10">
        <f>V69-W69</f>
        <v>0.42250869630677279</v>
      </c>
      <c r="Y69" s="9">
        <f>X69/W69*100</f>
        <v>3.9759840472555785</v>
      </c>
      <c r="Z69" s="10"/>
      <c r="AA69" s="10">
        <f>AA13/(AA66+AA67)</f>
        <v>10.085306779367698</v>
      </c>
      <c r="AB69" s="10">
        <f>AB13/(AB66+AB67)</f>
        <v>9.1022388086803296</v>
      </c>
      <c r="AC69" s="10">
        <f>AA69-AB69</f>
        <v>0.98306797068736884</v>
      </c>
      <c r="AD69" s="9">
        <f>AC69/AB69*100</f>
        <v>10.800287614403924</v>
      </c>
      <c r="AE69" s="10"/>
      <c r="AF69" s="10">
        <f>AF13/(AF66+AF67)</f>
        <v>10.455189941070918</v>
      </c>
      <c r="AG69" s="10">
        <f>AG13/(AG66+AG67)</f>
        <v>9.7962106385827941</v>
      </c>
      <c r="AH69" s="10">
        <f>AF69-AG69</f>
        <v>0.65897930248812386</v>
      </c>
      <c r="AI69" s="9">
        <f>AH69/AG69*100</f>
        <v>6.7268796762362957</v>
      </c>
      <c r="AJ69" s="10"/>
      <c r="AK69" s="10">
        <f>AK13/(AK66+AK67)</f>
        <v>10.169603921903084</v>
      </c>
      <c r="AL69" s="10">
        <f>AL13/(AL66+AL67)</f>
        <v>9.5251461056476074</v>
      </c>
      <c r="AM69" s="10">
        <f>IFERROR(AK69-AL69,0)</f>
        <v>0.6444578162554766</v>
      </c>
      <c r="AN69" s="9">
        <f>AM69/AL69*100</f>
        <v>6.7658575428398677</v>
      </c>
      <c r="AO69" s="10"/>
      <c r="AP69" s="10">
        <f>AP13/(AP66+AP67)</f>
        <v>10.607385272935939</v>
      </c>
      <c r="AQ69" s="10">
        <f>AQ13/(AQ66+AQ67)</f>
        <v>10.182892874897533</v>
      </c>
      <c r="AR69" s="17">
        <f>AP69-AQ69</f>
        <v>0.42449239803840655</v>
      </c>
      <c r="AS69" s="11">
        <f>AR69/AQ69*100</f>
        <v>4.1686817612001841</v>
      </c>
    </row>
    <row r="70" spans="1:45" s="18" customFormat="1" ht="15" customHeight="1" x14ac:dyDescent="0.25">
      <c r="A70" s="22" t="s">
        <v>67</v>
      </c>
      <c r="B70" s="10">
        <f>B22/B65</f>
        <v>7.3226228706142473</v>
      </c>
      <c r="C70" s="10"/>
      <c r="D70" s="10">
        <f>B70-C70</f>
        <v>7.3226228706142473</v>
      </c>
      <c r="E70" s="9">
        <f t="shared" si="48"/>
        <v>0</v>
      </c>
      <c r="F70" s="9"/>
      <c r="G70" s="10">
        <f>G22/G65</f>
        <v>6.9422521383399625</v>
      </c>
      <c r="H70" s="10">
        <f>H22/H65</f>
        <v>6.3149610602357873</v>
      </c>
      <c r="I70" s="10">
        <f>G70-H70</f>
        <v>0.62729107810417517</v>
      </c>
      <c r="J70" s="9">
        <f>I70/H70*100</f>
        <v>9.9334116571853155</v>
      </c>
      <c r="K70" s="10"/>
      <c r="L70" s="10">
        <f>L22/L65</f>
        <v>6.609113596958017</v>
      </c>
      <c r="M70" s="10">
        <f>M22/M65</f>
        <v>5.9803541142655421</v>
      </c>
      <c r="N70" s="10">
        <f>L70-M70</f>
        <v>0.62875948269247495</v>
      </c>
      <c r="O70" s="9">
        <f>N70/M70*100</f>
        <v>10.513750033507741</v>
      </c>
      <c r="P70" s="10"/>
      <c r="Q70" s="10">
        <f>Q22/Q65</f>
        <v>6.8342422200608777</v>
      </c>
      <c r="R70" s="10">
        <f>R22/R65</f>
        <v>6.1162437788714925</v>
      </c>
      <c r="S70" s="10">
        <f>Q70-R70</f>
        <v>0.71799844118938516</v>
      </c>
      <c r="T70" s="9">
        <f>S70/R70*100</f>
        <v>11.739205746993017</v>
      </c>
      <c r="U70" s="10"/>
      <c r="V70" s="10">
        <f>V22/V65</f>
        <v>7.9765319552349796</v>
      </c>
      <c r="W70" s="10">
        <f>W22/W65</f>
        <v>7.4483079254648716</v>
      </c>
      <c r="X70" s="10">
        <f>V70-W70</f>
        <v>0.52822402977010796</v>
      </c>
      <c r="Y70" s="9">
        <f>X70/W70*100</f>
        <v>7.0918661668668852</v>
      </c>
      <c r="Z70" s="10"/>
      <c r="AA70" s="10">
        <f>AA22/AA65</f>
        <v>7.0820366477617229</v>
      </c>
      <c r="AB70" s="10">
        <f>AB22/AB65</f>
        <v>6.1403790612555005</v>
      </c>
      <c r="AC70" s="10">
        <f>AA70-AB70</f>
        <v>0.94165758650622244</v>
      </c>
      <c r="AD70" s="9">
        <f>AC70/AB70*100</f>
        <v>15.335496019258542</v>
      </c>
      <c r="AE70" s="10"/>
      <c r="AF70" s="10">
        <f>AF22/AF65</f>
        <v>6.3220035679877169</v>
      </c>
      <c r="AG70" s="10">
        <f>AG22/AG65</f>
        <v>5.7432993140281834</v>
      </c>
      <c r="AH70" s="10">
        <f>AF70-AG70</f>
        <v>0.57870425395953351</v>
      </c>
      <c r="AI70" s="9">
        <f>AH70/AG70*100</f>
        <v>10.076163931523311</v>
      </c>
      <c r="AJ70" s="10"/>
      <c r="AK70" s="10">
        <f>AK22/AK65</f>
        <v>6.757837971309316</v>
      </c>
      <c r="AL70" s="10">
        <f>AL22/AL65</f>
        <v>6.1101890563492018</v>
      </c>
      <c r="AM70" s="10">
        <f>IFERROR(AK70-AL70,0)</f>
        <v>0.64764891496011412</v>
      </c>
      <c r="AN70" s="9">
        <f>AM70/AL70*100</f>
        <v>10.599490604748654</v>
      </c>
      <c r="AO70" s="10"/>
      <c r="AP70" s="17">
        <f>AP22/AP65</f>
        <v>7.2967937074967466</v>
      </c>
      <c r="AQ70" s="17">
        <f>AQ22/AQ65</f>
        <v>6.7573195138578352</v>
      </c>
      <c r="AR70" s="17">
        <f>AP70-AQ70</f>
        <v>0.53947419363891136</v>
      </c>
      <c r="AS70" s="11">
        <f>AR70/AQ70*100</f>
        <v>7.9835531312758512</v>
      </c>
    </row>
    <row r="71" spans="1:45" s="25" customFormat="1" ht="15" hidden="1" customHeight="1" x14ac:dyDescent="0.25">
      <c r="A71" s="23" t="s">
        <v>68</v>
      </c>
      <c r="B71" s="21"/>
      <c r="C71" s="21"/>
      <c r="D71" s="21"/>
      <c r="E71" s="26">
        <f>B71-C71</f>
        <v>0</v>
      </c>
      <c r="F71" s="26"/>
      <c r="G71" s="21"/>
      <c r="H71" s="21"/>
      <c r="I71" s="21"/>
      <c r="J71" s="26" t="e">
        <f>I71/H71*100</f>
        <v>#DIV/0!</v>
      </c>
      <c r="K71" s="21"/>
      <c r="L71" s="21"/>
      <c r="M71" s="21"/>
      <c r="N71" s="21"/>
      <c r="O71" s="26">
        <f>L71-M71</f>
        <v>0</v>
      </c>
      <c r="P71" s="21"/>
      <c r="Q71" s="21"/>
      <c r="R71" s="21"/>
      <c r="S71" s="21"/>
      <c r="T71" s="26" t="e">
        <f>S71/R71*100</f>
        <v>#DIV/0!</v>
      </c>
      <c r="U71" s="21"/>
      <c r="V71" s="21"/>
      <c r="W71" s="21"/>
      <c r="X71" s="21"/>
      <c r="Y71" s="26">
        <f>V71-W71</f>
        <v>0</v>
      </c>
      <c r="Z71" s="21"/>
      <c r="AA71" s="21"/>
      <c r="AB71" s="21"/>
      <c r="AC71" s="21"/>
      <c r="AD71" s="26">
        <f>AA71-AB71</f>
        <v>0</v>
      </c>
      <c r="AE71" s="21"/>
      <c r="AF71" s="21"/>
      <c r="AG71" s="21"/>
      <c r="AH71" s="21"/>
      <c r="AI71" s="26">
        <f>AF71-AG71</f>
        <v>0</v>
      </c>
      <c r="AJ71" s="21"/>
      <c r="AK71" s="21"/>
      <c r="AL71" s="21"/>
      <c r="AM71" s="21"/>
      <c r="AN71" s="26">
        <f>AK71-AL71</f>
        <v>0</v>
      </c>
      <c r="AO71" s="21"/>
      <c r="AP71" s="24">
        <v>36</v>
      </c>
      <c r="AQ71" s="24" t="str">
        <f>'[8]REG IV-B'!$AL$97</f>
        <v>39</v>
      </c>
      <c r="AR71" s="24"/>
      <c r="AS71" s="27">
        <f>AP71-AQ71</f>
        <v>-3</v>
      </c>
    </row>
    <row r="72" spans="1:45" s="18" customFormat="1" ht="15" customHeight="1" x14ac:dyDescent="0.25">
      <c r="A72" s="22" t="s">
        <v>80</v>
      </c>
      <c r="B72" s="10">
        <v>100</v>
      </c>
      <c r="C72" s="10"/>
      <c r="D72" s="10"/>
      <c r="E72" s="10">
        <f>B72-C72</f>
        <v>100</v>
      </c>
      <c r="F72" s="10"/>
      <c r="G72" s="10">
        <v>100</v>
      </c>
      <c r="H72" s="10">
        <v>100</v>
      </c>
      <c r="I72" s="10"/>
      <c r="J72" s="10">
        <f>G72-H72</f>
        <v>0</v>
      </c>
      <c r="K72" s="10"/>
      <c r="L72" s="10">
        <v>100</v>
      </c>
      <c r="M72" s="10">
        <v>100</v>
      </c>
      <c r="N72" s="10"/>
      <c r="O72" s="10">
        <f>L72-M72</f>
        <v>0</v>
      </c>
      <c r="P72" s="10"/>
      <c r="Q72" s="10">
        <v>97.82</v>
      </c>
      <c r="R72" s="10">
        <v>97.08</v>
      </c>
      <c r="S72" s="10"/>
      <c r="T72" s="10">
        <f>Q72-R72</f>
        <v>0.73999999999999488</v>
      </c>
      <c r="U72" s="10"/>
      <c r="V72" s="10">
        <v>99.46</v>
      </c>
      <c r="W72" s="10">
        <v>97.36</v>
      </c>
      <c r="X72" s="10"/>
      <c r="Y72" s="10">
        <f>V72-W72</f>
        <v>2.0999999999999943</v>
      </c>
      <c r="Z72" s="10"/>
      <c r="AA72" s="10">
        <v>91.19</v>
      </c>
      <c r="AB72" s="10">
        <v>89.89</v>
      </c>
      <c r="AC72" s="10"/>
      <c r="AD72" s="10">
        <f>AA72-AB72</f>
        <v>1.2999999999999972</v>
      </c>
      <c r="AE72" s="10"/>
      <c r="AF72" s="10">
        <v>96.89</v>
      </c>
      <c r="AG72" s="10">
        <v>95.87</v>
      </c>
      <c r="AH72" s="10"/>
      <c r="AI72" s="10">
        <f>AF72-AG72</f>
        <v>1.019999999999996</v>
      </c>
      <c r="AJ72" s="10"/>
      <c r="AK72" s="10">
        <v>100</v>
      </c>
      <c r="AL72" s="10">
        <v>100</v>
      </c>
      <c r="AM72" s="10"/>
      <c r="AN72" s="10">
        <f>AK72-AL72</f>
        <v>0</v>
      </c>
      <c r="AO72" s="10"/>
      <c r="AP72" s="17">
        <f>+(B72+G72+L72+Q72+V72+AA72+AF72+AK72)/8</f>
        <v>98.17</v>
      </c>
      <c r="AQ72" s="17">
        <f>(C72+H72+M72+R72+W72+AB72+AG72+AL72)/7</f>
        <v>97.171428571428578</v>
      </c>
      <c r="AR72" s="17"/>
      <c r="AS72" s="10">
        <f>AP72-AQ72</f>
        <v>0.99857142857142378</v>
      </c>
    </row>
    <row r="73" spans="1:45" s="12" customFormat="1" ht="15" customHeight="1" x14ac:dyDescent="0.25">
      <c r="A73" s="8" t="s">
        <v>69</v>
      </c>
      <c r="B73" s="9">
        <f>VLOOKUP(A73,'[7]REG4 (MIMAROPA)'!$A$65:$AN$77,2,FALSE)</f>
        <v>17430</v>
      </c>
      <c r="C73" s="9">
        <v>17244</v>
      </c>
      <c r="D73" s="9">
        <f>B73-C73</f>
        <v>186</v>
      </c>
      <c r="E73" s="9">
        <f>D73/C73*100</f>
        <v>1.0786360473208072</v>
      </c>
      <c r="F73" s="9"/>
      <c r="G73" s="9">
        <f>VLOOKUP(A73,'[7]REG4 (MIMAROPA)'!$A$65:$AN$77,7,FALSE)</f>
        <v>6902</v>
      </c>
      <c r="H73" s="9">
        <v>6725</v>
      </c>
      <c r="I73" s="9">
        <f>G73-H73</f>
        <v>177</v>
      </c>
      <c r="J73" s="9">
        <f>I73/H73*100</f>
        <v>2.6319702602230484</v>
      </c>
      <c r="K73" s="9"/>
      <c r="L73" s="9">
        <f>VLOOKUP(A73,'[7]REG4 (MIMAROPA)'!$A$65:$AN$77,12,FALSE)</f>
        <v>63942</v>
      </c>
      <c r="M73" s="9">
        <v>62464</v>
      </c>
      <c r="N73" s="9">
        <f>L73-M73</f>
        <v>1478</v>
      </c>
      <c r="O73" s="9">
        <f>N73/M73*100</f>
        <v>2.3661629098360657</v>
      </c>
      <c r="P73" s="9"/>
      <c r="Q73" s="9">
        <f>VLOOKUP(A73,'[7]REG4 (MIMAROPA)'!$A$65:$AN$77,17,FALSE)</f>
        <v>88331</v>
      </c>
      <c r="R73" s="9">
        <v>86148</v>
      </c>
      <c r="S73" s="9">
        <f>Q73-R73</f>
        <v>2183</v>
      </c>
      <c r="T73" s="9">
        <f>S73/R73*100</f>
        <v>2.5340112364767609</v>
      </c>
      <c r="U73" s="9"/>
      <c r="V73" s="9">
        <f>VLOOKUP(A73,'[7]REG4 (MIMAROPA)'!$A$65:$AN$77,22,FALSE)</f>
        <v>206674</v>
      </c>
      <c r="W73" s="9">
        <v>200537</v>
      </c>
      <c r="X73" s="9">
        <f>V73-W73</f>
        <v>6137</v>
      </c>
      <c r="Y73" s="9">
        <f>X73/W73*100</f>
        <v>3.0602831397697186</v>
      </c>
      <c r="Z73" s="9"/>
      <c r="AA73" s="9">
        <f>VLOOKUP(A73,'[7]REG4 (MIMAROPA)'!$A$65:$AN$77,27,FALSE)</f>
        <v>129342</v>
      </c>
      <c r="AB73" s="9">
        <v>126728</v>
      </c>
      <c r="AC73" s="9">
        <f>AA73-AB73</f>
        <v>2614</v>
      </c>
      <c r="AD73" s="9">
        <f>AC73/AB73*100</f>
        <v>2.0626854365254719</v>
      </c>
      <c r="AE73" s="9"/>
      <c r="AF73" s="9">
        <f>VLOOKUP(A73,'[7]REG4 (MIMAROPA)'!$A$65:$AN$77,32,FALSE)</f>
        <v>28616</v>
      </c>
      <c r="AG73" s="9">
        <v>27968</v>
      </c>
      <c r="AH73" s="9">
        <f>AF73-AG73</f>
        <v>648</v>
      </c>
      <c r="AI73" s="9">
        <f>AH73/AG73*100</f>
        <v>2.3169336384439361</v>
      </c>
      <c r="AJ73" s="9"/>
      <c r="AK73" s="9">
        <f>VLOOKUP(A73,'[7]REG4 (MIMAROPA)'!$A$65:$AN$77,37,FALSE)</f>
        <v>46085</v>
      </c>
      <c r="AL73" s="9">
        <v>44741</v>
      </c>
      <c r="AM73" s="9">
        <f>IFERROR(AK73-AL73,0)</f>
        <v>1344</v>
      </c>
      <c r="AN73" s="9">
        <f>AM73/AL73*100</f>
        <v>3.003956102903377</v>
      </c>
      <c r="AO73" s="9"/>
      <c r="AP73" s="9">
        <f>B73+G73+L73+Q73+V73+AA73+AF73+AK73</f>
        <v>587322</v>
      </c>
      <c r="AQ73" s="9">
        <f>C73+H73+M73+R73+W73+AB73+AG73+AL73</f>
        <v>572555</v>
      </c>
      <c r="AR73" s="11">
        <f>AP73-AQ73</f>
        <v>14767</v>
      </c>
      <c r="AS73" s="11">
        <f>AR73/AQ73*100</f>
        <v>2.5791408685628454</v>
      </c>
    </row>
    <row r="74" spans="1:45" s="12" customFormat="1" ht="15" customHeight="1" x14ac:dyDescent="0.25">
      <c r="A74" s="8" t="s">
        <v>70</v>
      </c>
      <c r="B74" s="9">
        <f>VLOOKUP(A74,'[7]REG4 (MIMAROPA)'!$A$65:$AN$77,2,FALSE)</f>
        <v>39</v>
      </c>
      <c r="C74" s="9"/>
      <c r="D74" s="9">
        <f>B74-C74</f>
        <v>39</v>
      </c>
      <c r="E74" s="9"/>
      <c r="F74" s="9"/>
      <c r="G74" s="9">
        <f>VLOOKUP(A74,'[7]REG4 (MIMAROPA)'!$A$65:$AN$77,7,FALSE)</f>
        <v>23</v>
      </c>
      <c r="H74" s="9">
        <v>22</v>
      </c>
      <c r="I74" s="9">
        <f>G74-H74</f>
        <v>1</v>
      </c>
      <c r="J74" s="9">
        <f>I74/H74*100</f>
        <v>4.5454545454545459</v>
      </c>
      <c r="K74" s="9"/>
      <c r="L74" s="9">
        <f>VLOOKUP(A74,'[7]REG4 (MIMAROPA)'!$A$65:$AN$77,12,FALSE)</f>
        <v>142</v>
      </c>
      <c r="M74" s="9">
        <f>51+90</f>
        <v>141</v>
      </c>
      <c r="N74" s="9">
        <f>L74-M74</f>
        <v>1</v>
      </c>
      <c r="O74" s="9">
        <f>N74/M74*100</f>
        <v>0.70921985815602839</v>
      </c>
      <c r="P74" s="9"/>
      <c r="Q74" s="9">
        <f>VLOOKUP(A74,'[7]REG4 (MIMAROPA)'!$A$65:$AN$77,17,FALSE)</f>
        <v>221</v>
      </c>
      <c r="R74" s="9">
        <f>110+115</f>
        <v>225</v>
      </c>
      <c r="S74" s="9">
        <f>Q74-R74</f>
        <v>-4</v>
      </c>
      <c r="T74" s="9">
        <f>S74/R74*100</f>
        <v>-1.7777777777777777</v>
      </c>
      <c r="U74" s="9"/>
      <c r="V74" s="9">
        <f>VLOOKUP(A74,'[7]REG4 (MIMAROPA)'!$A$65:$AN$77,22,FALSE)</f>
        <v>463</v>
      </c>
      <c r="W74" s="9">
        <f>219+250</f>
        <v>469</v>
      </c>
      <c r="X74" s="9">
        <f>V74-W74</f>
        <v>-6</v>
      </c>
      <c r="Y74" s="9">
        <f>X74/W74*100</f>
        <v>-1.279317697228145</v>
      </c>
      <c r="Z74" s="9"/>
      <c r="AA74" s="9">
        <f>VLOOKUP(A74,'[7]REG4 (MIMAROPA)'!$A$65:$AN$77,27,FALSE)</f>
        <v>336</v>
      </c>
      <c r="AB74" s="9">
        <f>183+136</f>
        <v>319</v>
      </c>
      <c r="AC74" s="9">
        <f>AA74-AB74</f>
        <v>17</v>
      </c>
      <c r="AD74" s="9">
        <f>AC74/AB74*100</f>
        <v>5.3291536050156738</v>
      </c>
      <c r="AE74" s="9"/>
      <c r="AF74" s="9">
        <f>VLOOKUP(A74,'[7]REG4 (MIMAROPA)'!$A$65:$AN$77,32,FALSE)</f>
        <v>65</v>
      </c>
      <c r="AG74" s="9">
        <f>36+29</f>
        <v>65</v>
      </c>
      <c r="AH74" s="9">
        <f>AF74-AG74</f>
        <v>0</v>
      </c>
      <c r="AI74" s="9">
        <f>AH74/AG74*100</f>
        <v>0</v>
      </c>
      <c r="AJ74" s="9"/>
      <c r="AK74" s="9">
        <f>VLOOKUP(A74,'[7]REG4 (MIMAROPA)'!$A$65:$AN$77,37,FALSE)</f>
        <v>116</v>
      </c>
      <c r="AL74" s="9">
        <f>87+26</f>
        <v>113</v>
      </c>
      <c r="AM74" s="9">
        <f>IFERROR(AK74-AL74,0)</f>
        <v>3</v>
      </c>
      <c r="AN74" s="9">
        <f>AM74/AL74*100</f>
        <v>2.6548672566371683</v>
      </c>
      <c r="AO74" s="9"/>
      <c r="AP74" s="9">
        <f>B74+G74+L74+Q74+V74+AA74+AF74+AK74</f>
        <v>1405</v>
      </c>
      <c r="AQ74" s="9">
        <f>C74+H74+M74+R74+W74+AB74+AG74+AL74</f>
        <v>1354</v>
      </c>
      <c r="AR74" s="11">
        <f>AP74-AQ74</f>
        <v>51</v>
      </c>
      <c r="AS74" s="11">
        <f>AR74/AQ74*100</f>
        <v>3.7666174298375181</v>
      </c>
    </row>
    <row r="75" spans="1:45" s="12" customFormat="1" ht="15" customHeight="1" x14ac:dyDescent="0.25">
      <c r="A75" s="8" t="s">
        <v>71</v>
      </c>
      <c r="B75" s="9">
        <f>B73/B74</f>
        <v>446.92307692307691</v>
      </c>
      <c r="C75" s="9"/>
      <c r="D75" s="9">
        <f>B75-C75</f>
        <v>446.92307692307691</v>
      </c>
      <c r="E75" s="9">
        <f>IFERROR(D75/C75*100,0)</f>
        <v>0</v>
      </c>
      <c r="F75" s="9"/>
      <c r="G75" s="9">
        <f>G73/G74</f>
        <v>300.08695652173913</v>
      </c>
      <c r="H75" s="9">
        <f>H73/H74</f>
        <v>305.68181818181819</v>
      </c>
      <c r="I75" s="9">
        <f>G75-H75</f>
        <v>-5.5948616600790615</v>
      </c>
      <c r="J75" s="9">
        <f>I75/H75*100</f>
        <v>-1.8302893163083918</v>
      </c>
      <c r="K75" s="9"/>
      <c r="L75" s="9">
        <f>L73/L74</f>
        <v>450.2957746478873</v>
      </c>
      <c r="M75" s="9">
        <f>M73/M74</f>
        <v>443.00709219858157</v>
      </c>
      <c r="N75" s="9">
        <f>L75-M75</f>
        <v>7.2886824493057247</v>
      </c>
      <c r="O75" s="9">
        <f>N75/M75*100</f>
        <v>1.6452744386400282</v>
      </c>
      <c r="P75" s="9"/>
      <c r="Q75" s="9">
        <f>Q73/Q74</f>
        <v>399.68778280542989</v>
      </c>
      <c r="R75" s="9">
        <f>R73/R74</f>
        <v>382.88</v>
      </c>
      <c r="S75" s="9">
        <f>Q75-R75</f>
        <v>16.807782805429895</v>
      </c>
      <c r="T75" s="9">
        <f>S75/R75*100</f>
        <v>4.389830444376801</v>
      </c>
      <c r="U75" s="9"/>
      <c r="V75" s="9">
        <f>V73/V74</f>
        <v>446.38012958963282</v>
      </c>
      <c r="W75" s="9">
        <f>W73/W74</f>
        <v>427.58422174840086</v>
      </c>
      <c r="X75" s="9">
        <f>V75-W75</f>
        <v>18.795907841231951</v>
      </c>
      <c r="Y75" s="9">
        <f>X75/W75*100</f>
        <v>4.3958375649071169</v>
      </c>
      <c r="Z75" s="9"/>
      <c r="AA75" s="9">
        <f>AA73/AA74</f>
        <v>384.94642857142856</v>
      </c>
      <c r="AB75" s="9">
        <f>AB73/AB74</f>
        <v>397.26645768025077</v>
      </c>
      <c r="AC75" s="9">
        <f>AA75-AB75</f>
        <v>-12.320029108822212</v>
      </c>
      <c r="AD75" s="9">
        <f>AC75/AB75*100</f>
        <v>-3.1012004337749239</v>
      </c>
      <c r="AE75" s="9"/>
      <c r="AF75" s="9">
        <f>AF73/AF74</f>
        <v>440.24615384615385</v>
      </c>
      <c r="AG75" s="9">
        <f>AG73/AG74</f>
        <v>430.27692307692308</v>
      </c>
      <c r="AH75" s="9">
        <f>AF75-AG75</f>
        <v>9.9692307692307622</v>
      </c>
      <c r="AI75" s="9">
        <f>AH75/AG75*100</f>
        <v>2.3169336384439343</v>
      </c>
      <c r="AJ75" s="9"/>
      <c r="AK75" s="9">
        <f>AK73/AK74</f>
        <v>397.2844827586207</v>
      </c>
      <c r="AL75" s="9">
        <f>AL73/AL74</f>
        <v>395.93805309734512</v>
      </c>
      <c r="AM75" s="9">
        <f>IFERROR(AK75-AL75,0)</f>
        <v>1.3464296612755788</v>
      </c>
      <c r="AN75" s="9">
        <f>AM75/AL75*100</f>
        <v>0.34006068644898507</v>
      </c>
      <c r="AO75" s="9"/>
      <c r="AP75" s="9">
        <f>AP73/AP74</f>
        <v>418.02277580071177</v>
      </c>
      <c r="AQ75" s="9">
        <f>AQ73/AQ74</f>
        <v>422.86189069423926</v>
      </c>
      <c r="AR75" s="11">
        <f>AP75-AQ75</f>
        <v>-4.8391148935274941</v>
      </c>
      <c r="AS75" s="9">
        <f>AR75/AQ75*100</f>
        <v>-1.1443724298689606</v>
      </c>
    </row>
    <row r="76" spans="1:45" s="12" customFormat="1" ht="15" customHeight="1" x14ac:dyDescent="0.25">
      <c r="A76" s="8" t="s">
        <v>72</v>
      </c>
      <c r="B76" s="9">
        <f>(1000*B24)/B73</f>
        <v>1682.4344211130235</v>
      </c>
      <c r="C76" s="9">
        <f>(1000*C24)/C73</f>
        <v>1980.9126902110879</v>
      </c>
      <c r="D76" s="9">
        <f>B76-C76</f>
        <v>-298.4782690980644</v>
      </c>
      <c r="E76" s="9">
        <f>D76/C76*100</f>
        <v>-15.067714522352738</v>
      </c>
      <c r="F76" s="9"/>
      <c r="G76" s="9">
        <f>(1000*G24)/G73</f>
        <v>1390.314046653144</v>
      </c>
      <c r="H76" s="9">
        <f>(1000*H24)/H73</f>
        <v>1265.3248877323422</v>
      </c>
      <c r="I76" s="9">
        <f>G76-H76</f>
        <v>124.98915892080186</v>
      </c>
      <c r="J76" s="9">
        <f>I76/H76*100</f>
        <v>9.8780289657308291</v>
      </c>
      <c r="K76" s="9"/>
      <c r="L76" s="9">
        <f>(1000*L24)/L73</f>
        <v>964.59654202245792</v>
      </c>
      <c r="M76" s="9">
        <f>(1000*M24)/M73</f>
        <v>924.7668999743853</v>
      </c>
      <c r="N76" s="9">
        <f>L76-M76</f>
        <v>39.829642048072628</v>
      </c>
      <c r="O76" s="9">
        <f>N76/M76*100</f>
        <v>4.3069926106974474</v>
      </c>
      <c r="P76" s="9"/>
      <c r="Q76" s="9">
        <f>(1000*Q24)/Q73</f>
        <v>1022.4104165015681</v>
      </c>
      <c r="R76" s="9">
        <f>(1000*R24)/R73</f>
        <v>946.28685100060363</v>
      </c>
      <c r="S76" s="9">
        <f>Q76-R76</f>
        <v>76.123565500964446</v>
      </c>
      <c r="T76" s="9">
        <f>S76/R76*100</f>
        <v>8.0444492513524199</v>
      </c>
      <c r="U76" s="9"/>
      <c r="V76" s="9">
        <f>(1000*V24)/V73</f>
        <v>924.80270846840915</v>
      </c>
      <c r="W76" s="9">
        <f>(1000*W24)/W73</f>
        <v>593.93624388516832</v>
      </c>
      <c r="X76" s="9">
        <f>V76-W76</f>
        <v>330.86646458324083</v>
      </c>
      <c r="Y76" s="9">
        <f>X76/W76*100</f>
        <v>55.707404286176313</v>
      </c>
      <c r="Z76" s="9"/>
      <c r="AA76" s="9">
        <f>(1000*AA24)/AA73</f>
        <v>1567.3743214887666</v>
      </c>
      <c r="AB76" s="9">
        <f>(1000*AB24)/AB73</f>
        <v>1199.8230806135978</v>
      </c>
      <c r="AC76" s="9">
        <f>AA76-AB76</f>
        <v>367.55124087516879</v>
      </c>
      <c r="AD76" s="9">
        <f>AC76/AB76*100</f>
        <v>30.633786498522813</v>
      </c>
      <c r="AE76" s="9"/>
      <c r="AF76" s="9">
        <f>(1000*AF24)/AF73</f>
        <v>942.73139152921442</v>
      </c>
      <c r="AG76" s="9">
        <f>(1000*AG24)/AG73</f>
        <v>931.17977617276892</v>
      </c>
      <c r="AH76" s="9">
        <f>AF76-AG76</f>
        <v>11.551615356445495</v>
      </c>
      <c r="AI76" s="9">
        <f>AH76/AG76*100</f>
        <v>1.2405354639384087</v>
      </c>
      <c r="AJ76" s="9"/>
      <c r="AK76" s="9">
        <f>(1000*AK24)/AK73</f>
        <v>936.76390213735476</v>
      </c>
      <c r="AL76" s="9">
        <f>(1000*AL24)/AL73</f>
        <v>871.7552370309113</v>
      </c>
      <c r="AM76" s="9">
        <f>IFERROR(AK76-AL76,0)</f>
        <v>65.008665106443459</v>
      </c>
      <c r="AN76" s="9">
        <f>AM76/AL76*100</f>
        <v>7.457215322027178</v>
      </c>
      <c r="AO76" s="9"/>
      <c r="AP76" s="9">
        <f>(1000*AP24)/AP73</f>
        <v>1115.0910684258379</v>
      </c>
      <c r="AQ76" s="9">
        <f>(1000*AQ24)/AQ73</f>
        <v>904.9913746626961</v>
      </c>
      <c r="AR76" s="11">
        <f>AP76-AQ76</f>
        <v>210.09969376314177</v>
      </c>
      <c r="AS76" s="9">
        <f>AR76/AQ76*100</f>
        <v>23.215657037775536</v>
      </c>
    </row>
    <row r="77" spans="1:45" s="12" customFormat="1" x14ac:dyDescent="0.25">
      <c r="A77" s="8" t="s">
        <v>73</v>
      </c>
      <c r="B77" s="9">
        <f>VLOOKUP(A77,'[7]REG4 (MIMAROPA)'!$A$65:$AN$77,2,FALSE)</f>
        <v>7806</v>
      </c>
      <c r="C77" s="9">
        <v>6741</v>
      </c>
      <c r="D77" s="9">
        <f>B77-C77</f>
        <v>1065</v>
      </c>
      <c r="E77" s="9">
        <f>D77/C77*100</f>
        <v>15.798842901646641</v>
      </c>
      <c r="F77" s="9"/>
      <c r="G77" s="9">
        <f>VLOOKUP(A77,'[7]REG4 (MIMAROPA)'!$A$65:$AN$77,7,FALSE)</f>
        <v>1300</v>
      </c>
      <c r="H77" s="9">
        <v>1290</v>
      </c>
      <c r="I77" s="9">
        <f>G77-H77</f>
        <v>10</v>
      </c>
      <c r="J77" s="9">
        <f>I77/H77*100</f>
        <v>0.77519379844961245</v>
      </c>
      <c r="K77" s="9"/>
      <c r="L77" s="9">
        <f>VLOOKUP(A77,'[7]REG4 (MIMAROPA)'!$A$65:$AN$77,12,FALSE)</f>
        <v>14145</v>
      </c>
      <c r="M77" s="9">
        <v>12971</v>
      </c>
      <c r="N77" s="9">
        <f>L77-M77</f>
        <v>1174</v>
      </c>
      <c r="O77" s="9">
        <f>N77/M77*100</f>
        <v>9.0509598334746748</v>
      </c>
      <c r="P77" s="9"/>
      <c r="Q77" s="9">
        <f>VLOOKUP(A77,'[7]REG4 (MIMAROPA)'!$A$65:$AN$77,17,FALSE)</f>
        <v>30070</v>
      </c>
      <c r="R77" s="9">
        <v>26470</v>
      </c>
      <c r="S77" s="9">
        <f>Q77-R77</f>
        <v>3600</v>
      </c>
      <c r="T77" s="9">
        <f>S77/R77*100</f>
        <v>13.600302228938421</v>
      </c>
      <c r="U77" s="9"/>
      <c r="V77" s="9">
        <f>VLOOKUP(A77,'[7]REG4 (MIMAROPA)'!$A$65:$AN$77,22,FALSE)</f>
        <v>70690</v>
      </c>
      <c r="W77" s="9">
        <v>65900</v>
      </c>
      <c r="X77" s="9">
        <f>V77-W77</f>
        <v>4790</v>
      </c>
      <c r="Y77" s="9">
        <f>X77/W77*100</f>
        <v>7.2685887708649464</v>
      </c>
      <c r="Z77" s="9"/>
      <c r="AA77" s="9">
        <f>VLOOKUP(A77,'[7]REG4 (MIMAROPA)'!$A$65:$AN$77,27,FALSE)</f>
        <v>60739.999999999993</v>
      </c>
      <c r="AB77" s="9">
        <v>56830</v>
      </c>
      <c r="AC77" s="9">
        <f>AA77-AB77</f>
        <v>3909.9999999999927</v>
      </c>
      <c r="AD77" s="9">
        <f>AC77/AB77*100</f>
        <v>6.8801689248636153</v>
      </c>
      <c r="AE77" s="9"/>
      <c r="AF77" s="9">
        <f>VLOOKUP(A77,'[7]REG4 (MIMAROPA)'!$A$65:$AN$77,32,FALSE)</f>
        <v>6260</v>
      </c>
      <c r="AG77" s="9">
        <v>5745</v>
      </c>
      <c r="AH77" s="9">
        <f>AF77-AG77</f>
        <v>515</v>
      </c>
      <c r="AI77" s="9">
        <f>AH77/AG77*100</f>
        <v>8.9643167972149698</v>
      </c>
      <c r="AJ77" s="9"/>
      <c r="AK77" s="9">
        <f>VLOOKUP(A77,'[7]REG4 (MIMAROPA)'!$A$65:$AN$77,37,FALSE)</f>
        <v>11482</v>
      </c>
      <c r="AL77" s="9">
        <v>9763</v>
      </c>
      <c r="AM77" s="9">
        <f>IFERROR(AK77-AL77,0)</f>
        <v>1719</v>
      </c>
      <c r="AN77" s="9">
        <f>AM77/AL77*100</f>
        <v>17.607292840315477</v>
      </c>
      <c r="AO77" s="9"/>
      <c r="AP77" s="9">
        <f>B77+G77+L77+Q77+V77+AA77+AF77+AK77</f>
        <v>202493</v>
      </c>
      <c r="AQ77" s="9">
        <f>C77+H77+M77+R77+W77+AB77+AG77+AL77</f>
        <v>185710</v>
      </c>
      <c r="AR77" s="11">
        <f>AP77-AQ77</f>
        <v>16783</v>
      </c>
      <c r="AS77" s="9">
        <f>AR77/AQ77*100</f>
        <v>9.0372085509665609</v>
      </c>
    </row>
    <row r="78" spans="1:45" s="12" customFormat="1" x14ac:dyDescent="0.25">
      <c r="A78" s="12" t="s">
        <v>74</v>
      </c>
      <c r="B78" s="29" t="s">
        <v>75</v>
      </c>
      <c r="C78" s="29"/>
      <c r="D78" s="29"/>
      <c r="E78" s="29"/>
      <c r="F78" s="9"/>
      <c r="G78" s="29" t="s">
        <v>76</v>
      </c>
      <c r="H78" s="29"/>
      <c r="I78" s="29"/>
      <c r="J78" s="29"/>
      <c r="K78" s="9"/>
      <c r="L78" s="29" t="s">
        <v>77</v>
      </c>
      <c r="M78" s="29"/>
      <c r="N78" s="29"/>
      <c r="O78" s="29"/>
      <c r="P78" s="9"/>
      <c r="Q78" s="29" t="s">
        <v>78</v>
      </c>
      <c r="R78" s="29"/>
      <c r="S78" s="29"/>
      <c r="T78" s="29"/>
      <c r="U78" s="9"/>
      <c r="V78" s="29" t="s">
        <v>79</v>
      </c>
      <c r="W78" s="29"/>
      <c r="X78" s="29"/>
      <c r="Y78" s="29"/>
      <c r="Z78" s="9"/>
      <c r="AA78" s="29" t="s">
        <v>78</v>
      </c>
      <c r="AB78" s="29"/>
      <c r="AC78" s="29"/>
      <c r="AD78" s="29"/>
      <c r="AE78" s="9"/>
      <c r="AF78" s="29" t="s">
        <v>75</v>
      </c>
      <c r="AG78" s="29"/>
      <c r="AH78" s="29"/>
      <c r="AI78" s="29"/>
      <c r="AJ78" s="9"/>
      <c r="AK78" s="29" t="s">
        <v>75</v>
      </c>
      <c r="AL78" s="29"/>
      <c r="AM78" s="29"/>
      <c r="AN78" s="29"/>
      <c r="AO78" s="9"/>
      <c r="AP78" s="9"/>
      <c r="AQ78" s="9"/>
      <c r="AR78" s="9"/>
      <c r="AS78" s="9"/>
    </row>
    <row r="79" spans="1:45" ht="15" customHeight="1" x14ac:dyDescent="0.25">
      <c r="A79" s="2"/>
      <c r="E79" s="14"/>
      <c r="J79" s="14"/>
      <c r="O79" s="14"/>
      <c r="T79" s="14"/>
      <c r="Y79" s="14"/>
      <c r="AD79" s="14"/>
      <c r="AS79" s="14"/>
    </row>
    <row r="80" spans="1:45" ht="15" customHeight="1" x14ac:dyDescent="0.25">
      <c r="E80" s="14"/>
      <c r="J80" s="14"/>
      <c r="O80" s="14"/>
      <c r="T80" s="14"/>
      <c r="Y80" s="14"/>
      <c r="AD80" s="14"/>
      <c r="AS80" s="14"/>
    </row>
    <row r="81" spans="1:45" ht="15" customHeight="1" x14ac:dyDescent="0.25">
      <c r="A81" s="3" t="s">
        <v>81</v>
      </c>
      <c r="E81" s="14"/>
      <c r="J81" s="14"/>
      <c r="O81" s="14"/>
      <c r="Q81" s="3" t="s">
        <v>1</v>
      </c>
      <c r="R81" s="3" t="s">
        <v>1</v>
      </c>
      <c r="T81" s="14"/>
      <c r="V81" s="3" t="s">
        <v>1</v>
      </c>
      <c r="W81" s="3" t="s">
        <v>1</v>
      </c>
      <c r="Y81" s="14"/>
      <c r="AD81" s="14"/>
      <c r="AS81" s="14"/>
    </row>
    <row r="82" spans="1:45" ht="15" customHeight="1" x14ac:dyDescent="0.25">
      <c r="E82" s="14"/>
      <c r="J82" s="14"/>
      <c r="O82" s="14"/>
      <c r="T82" s="14"/>
      <c r="Y82" s="14"/>
      <c r="AD82" s="14"/>
      <c r="AS82" s="14"/>
    </row>
    <row r="83" spans="1:45" ht="15" customHeight="1" x14ac:dyDescent="0.25">
      <c r="E83" s="14"/>
      <c r="J83" s="14"/>
      <c r="O83" s="14"/>
      <c r="T83" s="14"/>
      <c r="Y83" s="14"/>
      <c r="AD83" s="14"/>
      <c r="AS83" s="14"/>
    </row>
    <row r="84" spans="1:45" ht="15" customHeight="1" x14ac:dyDescent="0.25">
      <c r="E84" s="14"/>
      <c r="J84" s="14"/>
      <c r="O84" s="14"/>
      <c r="T84" s="14"/>
      <c r="Y84" s="14"/>
      <c r="AD84" s="14"/>
      <c r="AS84" s="14"/>
    </row>
    <row r="85" spans="1:45" ht="15" customHeight="1" x14ac:dyDescent="0.25"/>
    <row r="86" spans="1:45" ht="15" customHeight="1" x14ac:dyDescent="0.25"/>
    <row r="87" spans="1:45" ht="15" customHeight="1" x14ac:dyDescent="0.25"/>
    <row r="88" spans="1:45" ht="15" customHeight="1" x14ac:dyDescent="0.25"/>
    <row r="89" spans="1:45" ht="15" customHeight="1" x14ac:dyDescent="0.25"/>
    <row r="90" spans="1:45" ht="15" customHeight="1" x14ac:dyDescent="0.25"/>
    <row r="91" spans="1:45" ht="15" customHeight="1" x14ac:dyDescent="0.25"/>
    <row r="92" spans="1:45" ht="15" customHeight="1" x14ac:dyDescent="0.25"/>
    <row r="93" spans="1:45" ht="15" customHeight="1" x14ac:dyDescent="0.25"/>
    <row r="94" spans="1:45" ht="15" customHeight="1" x14ac:dyDescent="0.25"/>
    <row r="95" spans="1:45" ht="15" customHeight="1" x14ac:dyDescent="0.25"/>
    <row r="96" spans="1:45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</sheetData>
  <mergeCells count="33">
    <mergeCell ref="G6:J6"/>
    <mergeCell ref="L6:O6"/>
    <mergeCell ref="Q6:T6"/>
    <mergeCell ref="V6:Y6"/>
    <mergeCell ref="B7:E7"/>
    <mergeCell ref="G7:J7"/>
    <mergeCell ref="L7:O7"/>
    <mergeCell ref="Q7:T7"/>
    <mergeCell ref="V7:Y7"/>
    <mergeCell ref="AA6:AD6"/>
    <mergeCell ref="AK78:AN78"/>
    <mergeCell ref="AH8:AI8"/>
    <mergeCell ref="AM8:AN8"/>
    <mergeCell ref="AR8:AS8"/>
    <mergeCell ref="AA78:AD78"/>
    <mergeCell ref="AF78:AI78"/>
    <mergeCell ref="AF6:AI6"/>
    <mergeCell ref="AC8:AD8"/>
    <mergeCell ref="AK6:AN6"/>
    <mergeCell ref="AP6:AS6"/>
    <mergeCell ref="AA7:AD7"/>
    <mergeCell ref="AF7:AI7"/>
    <mergeCell ref="AK7:AN7"/>
    <mergeCell ref="B78:E78"/>
    <mergeCell ref="G78:J78"/>
    <mergeCell ref="L78:O78"/>
    <mergeCell ref="Q78:T78"/>
    <mergeCell ref="V78:Y78"/>
    <mergeCell ref="D8:E8"/>
    <mergeCell ref="I8:J8"/>
    <mergeCell ref="N8:O8"/>
    <mergeCell ref="S8:T8"/>
    <mergeCell ref="X8:Y8"/>
  </mergeCells>
  <pageMargins left="0.8" right="0" top="0.52" bottom="0" header="0.35" footer="0.24"/>
  <pageSetup paperSize="9" scale="68" orientation="portrait" r:id="rId1"/>
  <headerFooter alignWithMargins="0"/>
  <colBreaks count="4" manualBreakCount="4">
    <brk id="10" max="76" man="1"/>
    <brk id="20" max="76" man="1"/>
    <brk id="30" max="76" man="1"/>
    <brk id="40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REG4 (MIMAROPA)</vt:lpstr>
      <vt:lpstr>'REG4 (MIMAROPA)'!Print_Area</vt:lpstr>
      <vt:lpstr>'REG4 (MIMAROPA)'!Print_Titles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2024-03-01T08:09:19Z</dcterms:created>
  <dcterms:modified xsi:type="dcterms:W3CDTF">2024-03-08T07:10:03Z</dcterms:modified>
</cp:coreProperties>
</file>